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직원명단" sheetId="3" state="visible" r:id="rId5"/>
    <sheet name="급여대장" sheetId="4" state="visible" r:id="rId6"/>
    <sheet name="급여명세서" sheetId="5" state="visible" r:id="rId7"/>
  </sheets>
  <definedNames>
    <definedName function="false" hidden="false" localSheetId="3" name="_xlnm.Print_Area" vbProcedure="false">급여대장!$A$1:$AH$45</definedName>
    <definedName function="false" hidden="false" localSheetId="4" name="_xlnm.Print_Area" vbProcedure="false">급여명세서!$A$1:$G$34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X14" authorId="0">
      <text>
        <r>
          <rPr>
            <sz val="10"/>
            <rFont val="Noto Sans CJK SC"/>
            <family val="2"/>
          </rPr>
          <t xml:space="preserve">국세청 근로소득 간이세액표</t>
        </r>
        <r>
          <rPr>
            <sz val="10"/>
            <rFont val="Arial"/>
            <family val="2"/>
          </rPr>
          <t xml:space="preserve">(</t>
        </r>
        <r>
          <rPr>
            <sz val="10"/>
            <rFont val="Noto Sans CJK SC"/>
            <family val="2"/>
          </rPr>
          <t xml:space="preserve">홈택스</t>
        </r>
        <r>
          <rPr>
            <sz val="10"/>
            <rFont val="Arial"/>
            <family val="2"/>
          </rPr>
          <t xml:space="preserve">)</t>
        </r>
        <r>
          <rPr>
            <sz val="10"/>
            <rFont val="Noto Sans CJK SC"/>
            <family val="2"/>
          </rPr>
          <t xml:space="preserve">로 월 급여</t>
        </r>
        <r>
          <rPr>
            <sz val="10"/>
            <rFont val="Arial"/>
            <family val="2"/>
          </rPr>
          <t xml:space="preserve">·</t>
        </r>
        <r>
          <rPr>
            <sz val="10"/>
            <rFont val="Noto Sans CJK SC"/>
            <family val="2"/>
          </rPr>
          <t xml:space="preserve">부양가족 수에 맞춰 확인해 입력하세요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<sst xmlns="http://schemas.openxmlformats.org/spreadsheetml/2006/main" count="175" uniqueCount="145">
  <si>
    <t xml:space="preserve">알바·직원 급여대장 2026</t>
  </si>
  <si>
    <t xml:space="preserve">시급과 근무시간만 넣으면 주휴수당 · 4대보험 · 실지급액 · 사장님 총 인건비까지 자동 계산</t>
  </si>
  <si>
    <t xml:space="preserve">🧮 직원 뽑기 전에 인건비부터 계산해 보세요 → 사장님계산기 ceoc.app (무료, 회원가입 없음)</t>
  </si>
  <si>
    <t xml:space="preserve">알바 인건비 총액 · 주휴수당 · 4대보험 · 퇴직금 · 연장수당 계산기와 매일 갱신되는 정부 지원사업 모음까지 → https://ceoc.app</t>
  </si>
  <si>
    <t xml:space="preserve">이렇게 쓰세요</t>
  </si>
  <si>
    <t xml:space="preserve">설정</t>
  </si>
  <si>
    <t xml:space="preserve">사업장이 상시 5인 이상인지 고르고, 산재보험료율을 우리 업종 요율로 바꿉니다. 모르면 평균 1.47% 그대로 두세요.</t>
  </si>
  <si>
    <t xml:space="preserve">직원명단</t>
  </si>
  <si>
    <t xml:space="preserve">직원 이름, 시급, 주 소정근로시간, 4대보험 가입 여부, 식대를 적습니다. 예시 2명은 지우고 쓰세요. (최대 30명)</t>
  </si>
  <si>
    <t xml:space="preserve">급여대장</t>
  </si>
  <si>
    <t xml:space="preserve">귀속 연월을 적고, 직원 이름을 고른 뒤 이번 달 근무시간과 주휴 받는 주 수만 입력하면 끝입니다.</t>
  </si>
  <si>
    <t xml:space="preserve">소득세</t>
  </si>
  <si>
    <t xml:space="preserve">국세청 근로소득 간이세액표(홈택스 › 조회/발급 › 기타조회)로 확인해 입력합니다. 알바 급여는 대부분 0원입니다.</t>
  </si>
  <si>
    <t xml:space="preserve">급여명세서</t>
  </si>
  <si>
    <t xml:space="preserve">직원 이름을 고르면 명세서가 완성됩니다. 계산 방법까지 들어 있어 그대로 인쇄하거나 PDF로 주면 됩니다.</t>
  </si>
  <si>
    <t xml:space="preserve">다음 달</t>
  </si>
  <si>
    <t xml:space="preserve">[급여대장] 시트 탭을 우클릭 › 이동/복사 › 복사본 만들기. 연월과 시간만 바꾸면 됩니다.</t>
  </si>
  <si>
    <t xml:space="preserve">칸 색깔 안내</t>
  </si>
  <si>
    <t xml:space="preserve">1,234</t>
  </si>
  <si>
    <t xml:space="preserve">노란 칸 · 파란 글씨</t>
  </si>
  <si>
    <t xml:space="preserve">직접 입력하는 칸</t>
  </si>
  <si>
    <t xml:space="preserve">흰 칸 · 검은 글씨</t>
  </si>
  <si>
    <t xml:space="preserve">자동 계산 (수식이 있으니 지우지 마세요)</t>
  </si>
  <si>
    <t xml:space="preserve">초록 글씨</t>
  </si>
  <si>
    <t xml:space="preserve">다른 시트에서 가져온 값</t>
  </si>
  <si>
    <t xml:space="preserve">2026년 계산 기준</t>
  </si>
  <si>
    <t xml:space="preserve">최저시급</t>
  </si>
  <si>
    <t xml:space="preserve">10,320원 · 주 40시간 월급 2,156,880원(209시간)</t>
  </si>
  <si>
    <t xml:space="preserve">주휴수당</t>
  </si>
  <si>
    <t xml:space="preserve">주 소정근로시간 ÷ 40 × 8 × 시급 (주 15시간 이상 개근, 최대 8시간)</t>
  </si>
  <si>
    <t xml:space="preserve">국민연금</t>
  </si>
  <si>
    <t xml:space="preserve">9.5% (근로자·사업주 각 4.75%) · 기준소득월액 41만~659만원</t>
  </si>
  <si>
    <t xml:space="preserve">건강·장기요양</t>
  </si>
  <si>
    <t xml:space="preserve">건강보험 7.19% (각 3.595%) · 장기요양 = 건강보험료 × 13.14%</t>
  </si>
  <si>
    <t xml:space="preserve">고용·산재</t>
  </si>
  <si>
    <t xml:space="preserve">고용보험 근로자 0.9%, 사업주 1.15%(150인 미만) · 산재보험 사업주 전액(업종별)</t>
  </si>
  <si>
    <t xml:space="preserve">가산수당</t>
  </si>
  <si>
    <t xml:space="preserve">5인 이상: 연장·휴일 1.5배, 휴일 8시간 초과 2배, 야간(22~06시) +50% · 5인 미만은 가산 없음</t>
  </si>
  <si>
    <t xml:space="preserve">퇴직금 적립</t>
  </si>
  <si>
    <t xml:space="preserve">지급총액 ÷ 12 (주 15시간 이상, 1년 이상 근무 시 지급 의무)</t>
  </si>
  <si>
    <t xml:space="preserve">· 2021년 11월부터 급여명세서 교부는 법적 의무입니다(근로기준법 제48조). 항목별 금액과 계산 방법이 들어가야 합니다.
· 이 파일은 법정 공식에 따른 계산 도구이며 법적 효력이 없습니다. 실제 고지액은 공단 고지서로, 분쟁은 노무사나 고용노동부(1350)에서 확인하세요.
· 요율이 바뀌면 [설정] 시트 숫자만 고치면 됩니다. 매년 바뀐 요율은 사장님계산기(https://ceoc.app)에서 확인할 수 있어요.</t>
  </si>
  <si>
    <t xml:space="preserve">요율 설정</t>
  </si>
  <si>
    <t xml:space="preserve">노란 칸만 바꾸세요 · 보험료율은 매년 1월, 국민연금 상하한은 매년 7월에 확인</t>
  </si>
  <si>
    <t xml:space="preserve">항목</t>
  </si>
  <si>
    <t xml:space="preserve">값</t>
  </si>
  <si>
    <t xml:space="preserve">근거 · 메모</t>
  </si>
  <si>
    <t xml:space="preserve">상시 근로자 5인 이상 사업장</t>
  </si>
  <si>
    <t xml:space="preserve">아니오</t>
  </si>
  <si>
    <t xml:space="preserve">예 / 아니오 선택 · 5인 이상이면 연장·야간·휴일 가산수당 적용</t>
  </si>
  <si>
    <t xml:space="preserve">고용노동부 고시 2026년</t>
  </si>
  <si>
    <t xml:space="preserve">국민연금 근로자 요율</t>
  </si>
  <si>
    <t xml:space="preserve">국민연금공단 · 2026년 9.5%의 절반</t>
  </si>
  <si>
    <t xml:space="preserve">국민연금 사업주 요율</t>
  </si>
  <si>
    <t xml:space="preserve">국민연금 기준소득월액 하한</t>
  </si>
  <si>
    <t xml:space="preserve">2026.7 ~ 2027.6 적용</t>
  </si>
  <si>
    <t xml:space="preserve">국민연금 기준소득월액 상한</t>
  </si>
  <si>
    <t xml:space="preserve">건강보험 요율 (각각)</t>
  </si>
  <si>
    <t xml:space="preserve">국민건강보험공단 · 2026년 7.19%의 절반</t>
  </si>
  <si>
    <t xml:space="preserve">장기요양보험 (건강보험료 대비)</t>
  </si>
  <si>
    <t xml:space="preserve">자동 계산 · 소득 대비 0.9448% ÷ 건강보험 7.19%</t>
  </si>
  <si>
    <t xml:space="preserve">고용보험 근로자 요율</t>
  </si>
  <si>
    <t xml:space="preserve">실업급여분</t>
  </si>
  <si>
    <t xml:space="preserve">고용보험 사업주 요율</t>
  </si>
  <si>
    <t xml:space="preserve">150인 미만 · 실업급여 0.9% + 고용안정·직능개발 0.25%</t>
  </si>
  <si>
    <t xml:space="preserve">산재보험 요율 (사업주 전액)</t>
  </si>
  <si>
    <t xml:space="preserve">업종별로 다름 · 근로복지공단 토탈서비스에서 확인 · 1.47%는 평균값</t>
  </si>
  <si>
    <t xml:space="preserve">식대 비과세 한도 (월)</t>
  </si>
  <si>
    <t xml:space="preserve">소득세법 · 월 20만원까지 비과세, 보험료 계산에서도 제외</t>
  </si>
  <si>
    <t xml:space="preserve">▶ 최신 요율과 계산 공식 확인: 사장님계산기 https://ceoc.app/insurance</t>
  </si>
  <si>
    <t xml:space="preserve">직원 명단</t>
  </si>
  <si>
    <t xml:space="preserve">주 15시간(월 60시간) 이상이면 4대보험 보통 Y · 만 60세 이상은 국민연금 N · 예시 2명은 지우고 쓰세요</t>
  </si>
  <si>
    <t xml:space="preserve">이름</t>
  </si>
  <si>
    <t xml:space="preserve">시급(원)</t>
  </si>
  <si>
    <t xml:space="preserve">주 소정
근로시간</t>
  </si>
  <si>
    <t xml:space="preserve">입사일</t>
  </si>
  <si>
    <t xml:space="preserve">국민연금
(Y/N)</t>
  </si>
  <si>
    <t xml:space="preserve">건강보험
(Y/N)</t>
  </si>
  <si>
    <t xml:space="preserve">고용보험
(Y/N)</t>
  </si>
  <si>
    <t xml:space="preserve">식대
(월, 원)</t>
  </si>
  <si>
    <t xml:space="preserve">비고</t>
  </si>
  <si>
    <t xml:space="preserve">김알바</t>
  </si>
  <si>
    <t xml:space="preserve">Y</t>
  </si>
  <si>
    <t xml:space="preserve">예시 · 주 5일 하루 4시간</t>
  </si>
  <si>
    <t xml:space="preserve">이직원</t>
  </si>
  <si>
    <t xml:space="preserve">예시 · 주 5일 하루 8시간</t>
  </si>
  <si>
    <t xml:space="preserve">노란 칸만 입력 · 근무시간 = 이번 달 정해진 근무시간 합계(연장 제외) · 주휴 주 수 = 그 달 개근한 주 수(보통 4~5)</t>
  </si>
  <si>
    <t xml:space="preserve">귀속 연월</t>
  </si>
  <si>
    <t xml:space="preserve">2026-11</t>
  </si>
  <si>
    <t xml:space="preserve">사업장 규모</t>
  </si>
  <si>
    <t xml:space="preserve">▶ 퇴직금·지원사업은 사장님계산기 ceoc.app</t>
  </si>
  <si>
    <t xml:space="preserve">이번 달 지급총액</t>
  </si>
  <si>
    <t xml:space="preserve">근로자 공제 합계</t>
  </si>
  <si>
    <t xml:space="preserve">실지급액 합계</t>
  </si>
  <si>
    <t xml:space="preserve">사장님 총 인건비</t>
  </si>
  <si>
    <t xml:space="preserve">직원정보</t>
  </si>
  <si>
    <t xml:space="preserve">근무 입력</t>
  </si>
  <si>
    <t xml:space="preserve">지급</t>
  </si>
  <si>
    <t xml:space="preserve">근로자 공제</t>
  </si>
  <si>
    <t xml:space="preserve">사업주 부담</t>
  </si>
  <si>
    <t xml:space="preserve">No</t>
  </si>
  <si>
    <t xml:space="preserve">시급</t>
  </si>
  <si>
    <t xml:space="preserve">이번달
근무시간</t>
  </si>
  <si>
    <t xml:space="preserve">주휴
주 수</t>
  </si>
  <si>
    <t xml:space="preserve">연장
시간</t>
  </si>
  <si>
    <t xml:space="preserve">야간
시간</t>
  </si>
  <si>
    <t xml:space="preserve">휴일
8h 이내</t>
  </si>
  <si>
    <t xml:space="preserve">휴일
8h 초과</t>
  </si>
  <si>
    <t xml:space="preserve">기본급</t>
  </si>
  <si>
    <t xml:space="preserve">연장수당</t>
  </si>
  <si>
    <t xml:space="preserve">야간가산</t>
  </si>
  <si>
    <t xml:space="preserve">휴일수당</t>
  </si>
  <si>
    <t xml:space="preserve">식대
(비과세)</t>
  </si>
  <si>
    <t xml:space="preserve">지급총액</t>
  </si>
  <si>
    <t xml:space="preserve">보험료
기준액</t>
  </si>
  <si>
    <t xml:space="preserve">건강보험</t>
  </si>
  <si>
    <t xml:space="preserve">장기요양</t>
  </si>
  <si>
    <t xml:space="preserve">고용보험</t>
  </si>
  <si>
    <t xml:space="preserve">지방
소득세</t>
  </si>
  <si>
    <t xml:space="preserve">공제계</t>
  </si>
  <si>
    <t xml:space="preserve">실지급액</t>
  </si>
  <si>
    <t xml:space="preserve">건강·
장기요양</t>
  </si>
  <si>
    <t xml:space="preserve">산재보험</t>
  </si>
  <si>
    <t xml:space="preserve">퇴직금
적립</t>
  </si>
  <si>
    <t xml:space="preserve">총 인건비</t>
  </si>
  <si>
    <t xml:space="preserve">합계</t>
  </si>
  <si>
    <t xml:space="preserve">급 여 명 세 서</t>
  </si>
  <si>
    <t xml:space="preserve">사업장명</t>
  </si>
  <si>
    <t xml:space="preserve">성명</t>
  </si>
  <si>
    <t xml:space="preserve">지급일</t>
  </si>
  <si>
    <t xml:space="preserve">주 소정근로시간</t>
  </si>
  <si>
    <t xml:space="preserve">근무시간</t>
  </si>
  <si>
    <t xml:space="preserve">주휴 주 수</t>
  </si>
  <si>
    <t xml:space="preserve">▶ 명세서를 만들 직원을 오른쪽 노란 칸에서 고르세요</t>
  </si>
  <si>
    <t xml:space="preserve">지급 내역</t>
  </si>
  <si>
    <t xml:space="preserve">공제 내역</t>
  </si>
  <si>
    <t xml:space="preserve">연장근로수당</t>
  </si>
  <si>
    <t xml:space="preserve">장기요양보험</t>
  </si>
  <si>
    <t xml:space="preserve">야간근로가산</t>
  </si>
  <si>
    <t xml:space="preserve">휴일근로수당</t>
  </si>
  <si>
    <t xml:space="preserve">식대 (비과세)</t>
  </si>
  <si>
    <t xml:space="preserve">지방소득세</t>
  </si>
  <si>
    <t xml:space="preserve">지급 합계</t>
  </si>
  <si>
    <t xml:space="preserve">공제 합계</t>
  </si>
  <si>
    <t xml:space="preserve">계산 방법</t>
  </si>
  <si>
    <t xml:space="preserve">위 금액을 정히 지급합니다.                         사업주                         (인)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</si>
</sst>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;\-#,##0;\-"/>
    <numFmt numFmtId="166" formatCode="0.00%"/>
    <numFmt numFmtId="167" formatCode="0.000%"/>
    <numFmt numFmtId="168" formatCode="0.0"/>
    <numFmt numFmtId="169" formatCode="yyyy\-mm\-dd"/>
    <numFmt numFmtId="170" formatCode="#,##0\원"/>
    <numFmt numFmtId="171" formatCode="General"/>
    <numFmt numFmtId="172" formatCode="0.0;\-0.0;\-"/>
    <numFmt numFmtId="173" formatCode="0.0&quot;시간&quot;"/>
    <numFmt numFmtId="174" formatCode="0\주"/>
  </numFmts>
  <fonts count="4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맑은 고딕"/>
      <family val="0"/>
      <charset val="1"/>
    </font>
    <font>
      <sz val="10"/>
      <color rgb="FFCFE5E1"/>
      <name val="맑은 고딕"/>
      <family val="0"/>
      <charset val="1"/>
    </font>
    <font>
      <b val="true"/>
      <sz val="11"/>
      <color rgb="FF8A5A12"/>
      <name val="맑은 고딕"/>
      <family val="0"/>
      <charset val="1"/>
    </font>
    <font>
      <sz val="9.5"/>
      <color rgb="FF8A5A12"/>
      <name val="맑은 고딕"/>
      <family val="0"/>
      <charset val="1"/>
    </font>
    <font>
      <b val="true"/>
      <sz val="13"/>
      <color rgb="FF0F5C55"/>
      <name val="맑은 고딕"/>
      <family val="0"/>
      <charset val="1"/>
    </font>
    <font>
      <b val="true"/>
      <sz val="14"/>
      <color rgb="FFFFFFFF"/>
      <name val="맑은 고딕"/>
      <family val="0"/>
      <charset val="1"/>
    </font>
    <font>
      <b val="true"/>
      <sz val="11"/>
      <color rgb="FF1D2327"/>
      <name val="맑은 고딕"/>
      <family val="0"/>
      <charset val="1"/>
    </font>
    <font>
      <sz val="10"/>
      <color rgb="FF3A4248"/>
      <name val="맑은 고딕"/>
      <family val="0"/>
      <charset val="1"/>
    </font>
    <font>
      <b val="true"/>
      <sz val="10"/>
      <color rgb="FF1F4FD1"/>
      <name val="맑은 고딕"/>
      <family val="0"/>
      <charset val="1"/>
    </font>
    <font>
      <b val="true"/>
      <sz val="10"/>
      <color rgb="FF1D2327"/>
      <name val="맑은 고딕"/>
      <family val="0"/>
      <charset val="1"/>
    </font>
    <font>
      <b val="true"/>
      <sz val="10"/>
      <color rgb="FF1E7B45"/>
      <name val="맑은 고딕"/>
      <family val="0"/>
      <charset val="1"/>
    </font>
    <font>
      <b val="true"/>
      <sz val="10"/>
      <color rgb="FF0F5C55"/>
      <name val="맑은 고딕"/>
      <family val="0"/>
      <charset val="1"/>
    </font>
    <font>
      <sz val="9.5"/>
      <color rgb="FF6B4510"/>
      <name val="맑은 고딕"/>
      <family val="0"/>
      <charset val="1"/>
    </font>
    <font>
      <b val="true"/>
      <sz val="10"/>
      <color rgb="FFFFFFFF"/>
      <name val="맑은 고딕"/>
      <family val="0"/>
      <charset val="1"/>
    </font>
    <font>
      <sz val="9"/>
      <color rgb="FF6B7479"/>
      <name val="맑은 고딕"/>
      <family val="0"/>
      <charset val="1"/>
    </font>
    <font>
      <b val="true"/>
      <sz val="10"/>
      <color rgb="FF8A5A12"/>
      <name val="맑은 고딕"/>
      <family val="0"/>
      <charset val="1"/>
    </font>
    <font>
      <sz val="10"/>
      <color rgb="FF1F4FD1"/>
      <name val="맑은 고딕"/>
      <family val="0"/>
      <charset val="1"/>
    </font>
    <font>
      <b val="true"/>
      <sz val="10"/>
      <color rgb="FF6B7479"/>
      <name val="맑은 고딕"/>
      <family val="0"/>
      <charset val="1"/>
    </font>
    <font>
      <b val="true"/>
      <sz val="12"/>
      <color rgb="FF1F4FD1"/>
      <name val="맑은 고딕"/>
      <family val="0"/>
      <charset val="1"/>
    </font>
    <font>
      <b val="true"/>
      <sz val="10"/>
      <color rgb="FF9C3B28"/>
      <name val="맑은 고딕"/>
      <family val="0"/>
      <charset val="1"/>
    </font>
    <font>
      <b val="true"/>
      <sz val="10"/>
      <color rgb="FF34477A"/>
      <name val="맑은 고딕"/>
      <family val="0"/>
      <charset val="1"/>
    </font>
    <font>
      <b val="true"/>
      <sz val="20"/>
      <color rgb="FF0F5C55"/>
      <name val="맑은 고딕"/>
      <family val="0"/>
      <charset val="1"/>
    </font>
    <font>
      <b val="true"/>
      <sz val="20"/>
      <color rgb="FF9C3B28"/>
      <name val="맑은 고딕"/>
      <family val="0"/>
      <charset val="1"/>
    </font>
    <font>
      <b val="true"/>
      <sz val="20"/>
      <color rgb="FF34477A"/>
      <name val="맑은 고딕"/>
      <family val="0"/>
      <charset val="1"/>
    </font>
    <font>
      <b val="true"/>
      <sz val="20"/>
      <color rgb="FFFFFFFF"/>
      <name val="맑은 고딕"/>
      <family val="0"/>
      <charset val="1"/>
    </font>
    <font>
      <b val="true"/>
      <sz val="9.5"/>
      <color rgb="FF4B5560"/>
      <name val="맑은 고딕"/>
      <family val="0"/>
      <charset val="1"/>
    </font>
    <font>
      <b val="true"/>
      <sz val="9.5"/>
      <color rgb="FF8A5A12"/>
      <name val="맑은 고딕"/>
      <family val="0"/>
      <charset val="1"/>
    </font>
    <font>
      <b val="true"/>
      <sz val="9.5"/>
      <color rgb="FF0F5C55"/>
      <name val="맑은 고딕"/>
      <family val="0"/>
      <charset val="1"/>
    </font>
    <font>
      <b val="true"/>
      <sz val="9.5"/>
      <color rgb="FF9C3B28"/>
      <name val="맑은 고딕"/>
      <family val="0"/>
      <charset val="1"/>
    </font>
    <font>
      <b val="true"/>
      <sz val="9.5"/>
      <color rgb="FF34477A"/>
      <name val="맑은 고딕"/>
      <family val="0"/>
      <charset val="1"/>
    </font>
    <font>
      <b val="true"/>
      <sz val="9"/>
      <color rgb="FFFFFFFF"/>
      <name val="맑은 고딕"/>
      <family val="0"/>
      <charset val="1"/>
    </font>
    <font>
      <sz val="10"/>
      <color rgb="FF1E7B45"/>
      <name val="맑은 고딕"/>
      <family val="0"/>
      <charset val="1"/>
    </font>
    <font>
      <sz val="10"/>
      <color rgb="FF1D2327"/>
      <name val="맑은 고딕"/>
      <family val="0"/>
      <charset val="1"/>
    </font>
    <font>
      <sz val="10"/>
      <name val="Noto Sans CJK SC"/>
      <family val="2"/>
    </font>
    <font>
      <sz val="10"/>
      <name val="Arial"/>
      <family val="2"/>
    </font>
    <font>
      <b val="true"/>
      <sz val="9.5"/>
      <color rgb="FF6B7479"/>
      <name val="맑은 고딕"/>
      <family val="0"/>
      <charset val="1"/>
    </font>
    <font>
      <b val="true"/>
      <sz val="11"/>
      <color rgb="FFFFFFFF"/>
      <name val="맑은 고딕"/>
      <family val="0"/>
      <charset val="1"/>
    </font>
    <font>
      <b val="true"/>
      <sz val="11"/>
      <color rgb="FF0F5C55"/>
      <name val="맑은 고딕"/>
      <family val="0"/>
      <charset val="1"/>
    </font>
    <font>
      <b val="true"/>
      <sz val="11"/>
      <color rgb="FF9C3B28"/>
      <name val="맑은 고딕"/>
      <family val="0"/>
      <charset val="1"/>
    </font>
    <font>
      <b val="true"/>
      <sz val="22"/>
      <color rgb="FFFFFFFF"/>
      <name val="맑은 고딕"/>
      <family val="0"/>
      <charset val="1"/>
    </font>
    <font>
      <sz val="9"/>
      <color rgb="FF3A4248"/>
      <name val="맑은 고딕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0B3F3A"/>
        <bgColor rgb="FF003300"/>
      </patternFill>
    </fill>
    <fill>
      <patternFill patternType="solid">
        <fgColor rgb="FF0F5C55"/>
        <bgColor rgb="FF2E5F59"/>
      </patternFill>
    </fill>
    <fill>
      <patternFill patternType="solid">
        <fgColor rgb="FFE0902A"/>
        <bgColor rgb="FFFF8080"/>
      </patternFill>
    </fill>
    <fill>
      <patternFill patternType="solid">
        <fgColor rgb="FFFAF8F3"/>
        <bgColor rgb="FFF6F4EE"/>
      </patternFill>
    </fill>
    <fill>
      <patternFill patternType="solid">
        <fgColor rgb="FFFDF1E1"/>
        <bgColor rgb="FFFFF6D6"/>
      </patternFill>
    </fill>
    <fill>
      <patternFill patternType="solid">
        <fgColor rgb="FFFFFFFF"/>
        <bgColor rgb="FFFAF8F3"/>
      </patternFill>
    </fill>
    <fill>
      <patternFill patternType="solid">
        <fgColor rgb="FFFFF6D6"/>
        <bgColor rgb="FFFDF1E1"/>
      </patternFill>
    </fill>
    <fill>
      <patternFill patternType="solid">
        <fgColor rgb="FFF3F1EA"/>
        <bgColor rgb="FFEEF0EC"/>
      </patternFill>
    </fill>
    <fill>
      <patternFill patternType="solid">
        <fgColor rgb="FFF6F4EE"/>
        <bgColor rgb="FFF3F1EA"/>
      </patternFill>
    </fill>
    <fill>
      <patternFill patternType="solid">
        <fgColor rgb="FFDDEFEA"/>
        <bgColor rgb="FFE3E7F3"/>
      </patternFill>
    </fill>
    <fill>
      <patternFill patternType="solid">
        <fgColor rgb="FFF7E1DC"/>
        <bgColor rgb="FFFCEBD0"/>
      </patternFill>
    </fill>
    <fill>
      <patternFill patternType="solid">
        <fgColor rgb="FFE3E7F3"/>
        <bgColor rgb="FFDDEFEA"/>
      </patternFill>
    </fill>
    <fill>
      <patternFill patternType="solid">
        <fgColor rgb="FFEEF0EC"/>
        <bgColor rgb="FFF3F1EA"/>
      </patternFill>
    </fill>
    <fill>
      <patternFill patternType="solid">
        <fgColor rgb="FFFCEBD0"/>
        <bgColor rgb="FFFDF1E1"/>
      </patternFill>
    </fill>
    <fill>
      <patternFill patternType="solid">
        <fgColor rgb="FF8A5A12"/>
        <bgColor rgb="FF6B4510"/>
      </patternFill>
    </fill>
    <fill>
      <patternFill patternType="solid">
        <fgColor rgb="FF9C3B28"/>
        <bgColor rgb="FFC0392B"/>
      </patternFill>
    </fill>
  </fills>
  <borders count="36">
    <border diagonalUp="false" diagonalDown="false">
      <left/>
      <right/>
      <top/>
      <bottom/>
      <diagonal/>
    </border>
    <border diagonalUp="false" diagonalDown="false">
      <left style="thin">
        <color rgb="FFE0902A"/>
      </left>
      <right style="thin">
        <color rgb="FFE0902A"/>
      </right>
      <top style="thin">
        <color rgb="FFE0902A"/>
      </top>
      <bottom/>
      <diagonal/>
    </border>
    <border diagonalUp="false" diagonalDown="false">
      <left style="thin">
        <color rgb="FFE0902A"/>
      </left>
      <right style="thin">
        <color rgb="FFE0902A"/>
      </right>
      <top/>
      <bottom style="thin">
        <color rgb="FFE0902A"/>
      </bottom>
      <diagonal/>
    </border>
    <border diagonalUp="false" diagonalDown="false">
      <left style="thin">
        <color rgb="FFD9D5CA"/>
      </left>
      <right/>
      <top style="thin">
        <color rgb="FFD9D5CA"/>
      </top>
      <bottom style="thin">
        <color rgb="FFD9D5CA"/>
      </bottom>
      <diagonal/>
    </border>
    <border diagonalUp="false" diagonalDown="false">
      <left/>
      <right/>
      <top style="thin">
        <color rgb="FFD9D5CA"/>
      </top>
      <bottom style="thin">
        <color rgb="FFD9D5CA"/>
      </bottom>
      <diagonal/>
    </border>
    <border diagonalUp="false" diagonalDown="false">
      <left/>
      <right style="thin">
        <color rgb="FFD9D5CA"/>
      </right>
      <top style="thin">
        <color rgb="FFD9D5CA"/>
      </top>
      <bottom style="thin">
        <color rgb="FFD9D5CA"/>
      </bottom>
      <diagonal/>
    </border>
    <border diagonalUp="false" diagonalDown="false">
      <left style="thin">
        <color rgb="FFD9D5CA"/>
      </left>
      <right style="thin">
        <color rgb="FFD9D5CA"/>
      </right>
      <top style="thin">
        <color rgb="FFD9D5CA"/>
      </top>
      <bottom style="medium">
        <color rgb="FFE0902A"/>
      </bottom>
      <diagonal/>
    </border>
    <border diagonalUp="false" diagonalDown="false">
      <left style="thin">
        <color rgb="FFD9D5CA"/>
      </left>
      <right style="thin">
        <color rgb="FFD9D5CA"/>
      </right>
      <top style="thin">
        <color rgb="FFD9D5CA"/>
      </top>
      <bottom style="thin">
        <color rgb="FFD9D5CA"/>
      </bottom>
      <diagonal/>
    </border>
    <border diagonalUp="false" diagonalDown="false">
      <left/>
      <right/>
      <top/>
      <bottom style="hair">
        <color rgb="FFD9D5CA"/>
      </bottom>
      <diagonal/>
    </border>
    <border diagonalUp="false" diagonalDown="false">
      <left style="thin">
        <color rgb="FFF1D6AE"/>
      </left>
      <right style="thin">
        <color rgb="FFF1D6AE"/>
      </right>
      <top style="thin">
        <color rgb="FFF1D6AE"/>
      </top>
      <bottom style="thin">
        <color rgb="FFF1D6AE"/>
      </bottom>
      <diagonal/>
    </border>
    <border diagonalUp="false" diagonalDown="false">
      <left/>
      <right style="thin">
        <color rgb="FF2E7A72"/>
      </right>
      <top/>
      <bottom/>
      <diagonal/>
    </border>
    <border diagonalUp="false" diagonalDown="false">
      <left/>
      <right style="hair">
        <color rgb="FFD9D5CA"/>
      </right>
      <top/>
      <bottom style="hair">
        <color rgb="FFD9D5CA"/>
      </bottom>
      <diagonal/>
    </border>
    <border diagonalUp="false" diagonalDown="false">
      <left style="thin">
        <color rgb="FFDDEFEA"/>
      </left>
      <right style="thin">
        <color rgb="FFDDEFEA"/>
      </right>
      <top style="thin">
        <color rgb="FFDDEFEA"/>
      </top>
      <bottom/>
      <diagonal/>
    </border>
    <border diagonalUp="false" diagonalDown="false">
      <left style="thin">
        <color rgb="FFF7E1DC"/>
      </left>
      <right style="thin">
        <color rgb="FFF7E1DC"/>
      </right>
      <top style="thin">
        <color rgb="FFF7E1DC"/>
      </top>
      <bottom/>
      <diagonal/>
    </border>
    <border diagonalUp="false" diagonalDown="false">
      <left style="thin">
        <color rgb="FFE3E7F3"/>
      </left>
      <right style="thin">
        <color rgb="FFE3E7F3"/>
      </right>
      <top style="thin">
        <color rgb="FFE3E7F3"/>
      </top>
      <bottom/>
      <diagonal/>
    </border>
    <border diagonalUp="false" diagonalDown="false">
      <left style="thin">
        <color rgb="FFDDEFEA"/>
      </left>
      <right style="thin">
        <color rgb="FFDDEFEA"/>
      </right>
      <top/>
      <bottom style="thin">
        <color rgb="FFDDEFEA"/>
      </bottom>
      <diagonal/>
    </border>
    <border diagonalUp="false" diagonalDown="false">
      <left style="thin">
        <color rgb="FFF7E1DC"/>
      </left>
      <right style="thin">
        <color rgb="FFF7E1DC"/>
      </right>
      <top/>
      <bottom style="thin">
        <color rgb="FFF7E1DC"/>
      </bottom>
      <diagonal/>
    </border>
    <border diagonalUp="false" diagonalDown="false">
      <left style="thin">
        <color rgb="FFE3E7F3"/>
      </left>
      <right style="thin">
        <color rgb="FFE3E7F3"/>
      </right>
      <top/>
      <bottom style="thin">
        <color rgb="FFE3E7F3"/>
      </bottom>
      <diagonal/>
    </border>
    <border diagonalUp="false" diagonalDown="false">
      <left/>
      <right style="thin">
        <color rgb="FF2E5F59"/>
      </right>
      <top/>
      <bottom/>
      <diagonal/>
    </border>
    <border diagonalUp="false" diagonalDown="false">
      <left style="thin">
        <color rgb="FFD9D5CA"/>
      </left>
      <right/>
      <top style="thin">
        <color rgb="FFD9D5CA"/>
      </top>
      <bottom/>
      <diagonal/>
    </border>
    <border diagonalUp="false" diagonalDown="false">
      <left/>
      <right/>
      <top style="thin">
        <color rgb="FFD9D5CA"/>
      </top>
      <bottom/>
      <diagonal/>
    </border>
    <border diagonalUp="false" diagonalDown="false">
      <left/>
      <right style="thin">
        <color rgb="FFD9D5CA"/>
      </right>
      <top style="thin">
        <color rgb="FFD9D5CA"/>
      </top>
      <bottom/>
      <diagonal/>
    </border>
    <border diagonalUp="false" diagonalDown="false">
      <left style="thin">
        <color rgb="FFD9D5CA"/>
      </left>
      <right/>
      <top/>
      <bottom/>
      <diagonal/>
    </border>
    <border diagonalUp="false" diagonalDown="false">
      <left/>
      <right style="thin">
        <color rgb="FFD9D5CA"/>
      </right>
      <top/>
      <bottom/>
      <diagonal/>
    </border>
    <border diagonalUp="false" diagonalDown="false">
      <left style="thin">
        <color rgb="FFD9D5CA"/>
      </left>
      <right/>
      <top/>
      <bottom style="thin">
        <color rgb="FFD9D5CA"/>
      </bottom>
      <diagonal/>
    </border>
    <border diagonalUp="false" diagonalDown="false">
      <left/>
      <right/>
      <top/>
      <bottom style="thin">
        <color rgb="FFD9D5CA"/>
      </bottom>
      <diagonal/>
    </border>
    <border diagonalUp="false" diagonalDown="false">
      <left/>
      <right style="thin">
        <color rgb="FFD9D5CA"/>
      </right>
      <top/>
      <bottom style="thin">
        <color rgb="FFD9D5CA"/>
      </bottom>
      <diagonal/>
    </border>
    <border diagonalUp="false" diagonalDown="false">
      <left/>
      <right/>
      <top style="medium">
        <color rgb="FF0F5C55"/>
      </top>
      <bottom/>
      <diagonal/>
    </border>
    <border diagonalUp="false" diagonalDown="false">
      <left/>
      <right/>
      <top style="medium">
        <color rgb="FF9C3B28"/>
      </top>
      <bottom/>
      <diagonal/>
    </border>
    <border diagonalUp="false" diagonalDown="false">
      <left style="thin">
        <color rgb="FFE0902A"/>
      </left>
      <right/>
      <top style="thin">
        <color rgb="FFE0902A"/>
      </top>
      <bottom style="thin">
        <color rgb="FFE0902A"/>
      </bottom>
      <diagonal/>
    </border>
    <border diagonalUp="false" diagonalDown="false">
      <left/>
      <right/>
      <top style="thin">
        <color rgb="FFE0902A"/>
      </top>
      <bottom/>
      <diagonal/>
    </border>
    <border diagonalUp="false" diagonalDown="false">
      <left/>
      <right style="thin">
        <color rgb="FFE0902A"/>
      </right>
      <top style="thin">
        <color rgb="FFE0902A"/>
      </top>
      <bottom style="thin">
        <color rgb="FFE0902A"/>
      </bottom>
      <diagonal/>
    </border>
    <border diagonalUp="false" diagonalDown="false">
      <left/>
      <right/>
      <top/>
      <bottom style="thin">
        <color rgb="FFE0902A"/>
      </bottom>
      <diagonal/>
    </border>
    <border diagonalUp="false" diagonalDown="false">
      <left style="thin">
        <color rgb="FFD9D5CA"/>
      </left>
      <right style="thin">
        <color rgb="FFD9D5CA"/>
      </right>
      <top style="thin">
        <color rgb="FFD9D5CA"/>
      </top>
      <bottom/>
      <diagonal/>
    </border>
    <border diagonalUp="false" diagonalDown="false">
      <left style="thin">
        <color rgb="FFD9D5CA"/>
      </left>
      <right style="thin">
        <color rgb="FFD9D5CA"/>
      </right>
      <top/>
      <bottom/>
      <diagonal/>
    </border>
    <border diagonalUp="false" diagonalDown="false">
      <left style="thin">
        <color rgb="FFD9D5CA"/>
      </left>
      <right style="thin">
        <color rgb="FFD9D5CA"/>
      </right>
      <top/>
      <bottom style="thin">
        <color rgb="FFD9D5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7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3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7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9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9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6" borderId="9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3" fillId="7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8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7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1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2" fillId="8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1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2" fillId="8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2" fillId="8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10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0" fillId="8" borderId="1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20" fillId="8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0" fillId="8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1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12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13" borderId="1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0" fontId="25" fillId="11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6" fillId="12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7" fillId="13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1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1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1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2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6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8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5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5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0" fillId="8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8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8" fillId="1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5" fillId="1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35" fillId="1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1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1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1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1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72" fontId="1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9" fillId="7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7" borderId="2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7" borderId="2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7" borderId="2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7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0" fontId="14" fillId="7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2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4" fillId="7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7" borderId="2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3" fontId="14" fillId="7" borderId="2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7" borderId="2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4" fontId="14" fillId="7" borderId="2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5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1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7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36" fillId="7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6" fillId="1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36" fillId="10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11" borderId="2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1" fillId="11" borderId="27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3" fillId="12" borderId="2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2" fillId="12" borderId="2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4" borderId="29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0" fillId="4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3" fillId="4" borderId="31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0" fillId="4" borderId="3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4" fillId="7" borderId="3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44" fillId="7" borderId="34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44" fillId="7" borderId="35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6" fillId="5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6F4EE"/>
      <rgbColor rgb="FFFF00FF"/>
      <rgbColor rgb="FF00FFFF"/>
      <rgbColor rgb="FF800000"/>
      <rgbColor rgb="FF2E5F59"/>
      <rgbColor rgb="FF000080"/>
      <rgbColor rgb="FF8A5A12"/>
      <rgbColor rgb="FF800080"/>
      <rgbColor rgb="FF1E7B45"/>
      <rgbColor rgb="FFF7E1DC"/>
      <rgbColor rgb="FF6B7479"/>
      <rgbColor rgb="FF9999FF"/>
      <rgbColor rgb="FFC0392B"/>
      <rgbColor rgb="FFFFF6D6"/>
      <rgbColor rgb="FFDDEFEA"/>
      <rgbColor rgb="FF660066"/>
      <rgbColor rgb="FFFF8080"/>
      <rgbColor rgb="FF1F4FD1"/>
      <rgbColor rgb="FFD9D5CA"/>
      <rgbColor rgb="FF000080"/>
      <rgbColor rgb="FFFF00FF"/>
      <rgbColor rgb="FFFAF8F3"/>
      <rgbColor rgb="FF00FFFF"/>
      <rgbColor rgb="FF800080"/>
      <rgbColor rgb="FF800000"/>
      <rgbColor rgb="FF0F5C55"/>
      <rgbColor rgb="FF0000FF"/>
      <rgbColor rgb="FF00CCFF"/>
      <rgbColor rgb="FFE3E7F3"/>
      <rgbColor rgb="FFCFE5E1"/>
      <rgbColor rgb="FFFCEBD0"/>
      <rgbColor rgb="FFEEF0EC"/>
      <rgbColor rgb="FFFDF1E1"/>
      <rgbColor rgb="FFF3F1EA"/>
      <rgbColor rgb="FFF1D6AE"/>
      <rgbColor rgb="FF4B5560"/>
      <rgbColor rgb="FF33CCCC"/>
      <rgbColor rgb="FF99CC00"/>
      <rgbColor rgb="FFFFCC00"/>
      <rgbColor rgb="FFE0902A"/>
      <rgbColor rgb="FFFF6600"/>
      <rgbColor rgb="FF4B7BB5"/>
      <rgbColor rgb="FF969696"/>
      <rgbColor rgb="FF0B3F3A"/>
      <rgbColor rgb="FF2E7A72"/>
      <rgbColor rgb="FF003300"/>
      <rgbColor rgb="FF1D2327"/>
      <rgbColor rgb="FF9C3B28"/>
      <rgbColor rgb="FF6B4510"/>
      <rgbColor rgb="FF34477A"/>
      <rgbColor rgb="FF3A4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eoc.app/" TargetMode="External"/><Relationship Id="rId2" Type="http://schemas.openxmlformats.org/officeDocument/2006/relationships/hyperlink" Target="https://ceoc.app/jiwon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ceoc.app/insurance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ceoc.app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5C55"/>
    <pageSetUpPr fitToPage="true"/>
  </sheetPr>
  <dimension ref="A1:H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5" min="3" style="0" width="30"/>
    <col collapsed="false" customWidth="true" hidden="false" outlineLevel="0" max="6" min="6" style="0" width="18"/>
    <col collapsed="false" customWidth="true" hidden="false" outlineLevel="0" max="8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7.5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A3" s="2"/>
      <c r="B3" s="4" t="s">
        <v>1</v>
      </c>
      <c r="C3" s="2"/>
      <c r="D3" s="2"/>
      <c r="E3" s="2"/>
      <c r="F3" s="2"/>
      <c r="G3" s="2"/>
      <c r="H3" s="2"/>
    </row>
    <row r="4" customFormat="false" ht="7.5" hidden="false" customHeight="true" outlineLevel="0" collapsed="false">
      <c r="A4" s="5"/>
      <c r="B4" s="5"/>
      <c r="C4" s="5"/>
      <c r="D4" s="5"/>
      <c r="E4" s="5"/>
      <c r="F4" s="5"/>
      <c r="G4" s="5"/>
      <c r="H4" s="5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</row>
    <row r="6" customFormat="false" ht="25.5" hidden="false" customHeight="true" outlineLevel="0" collapsed="false">
      <c r="A6" s="6"/>
      <c r="B6" s="7" t="s">
        <v>2</v>
      </c>
      <c r="C6" s="7"/>
      <c r="D6" s="7"/>
      <c r="E6" s="7"/>
      <c r="F6" s="7"/>
      <c r="G6" s="6"/>
      <c r="H6" s="6"/>
    </row>
    <row r="7" customFormat="false" ht="19.5" hidden="false" customHeight="true" outlineLevel="0" collapsed="false">
      <c r="A7" s="6"/>
      <c r="B7" s="8" t="s">
        <v>3</v>
      </c>
      <c r="C7" s="8"/>
      <c r="D7" s="8"/>
      <c r="E7" s="8"/>
      <c r="F7" s="8"/>
      <c r="G7" s="6"/>
      <c r="H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</row>
    <row r="9" customFormat="false" ht="16.15" hidden="false" customHeight="false" outlineLevel="0" collapsed="false">
      <c r="A9" s="6"/>
      <c r="B9" s="9" t="s">
        <v>4</v>
      </c>
      <c r="C9" s="6"/>
      <c r="D9" s="6"/>
      <c r="E9" s="6"/>
      <c r="F9" s="6"/>
      <c r="G9" s="6"/>
      <c r="H9" s="6"/>
    </row>
    <row r="10" customFormat="false" ht="39.75" hidden="false" customHeight="true" outlineLevel="0" collapsed="false">
      <c r="A10" s="6"/>
      <c r="B10" s="10" t="n">
        <v>1</v>
      </c>
      <c r="C10" s="11" t="s">
        <v>5</v>
      </c>
      <c r="D10" s="12" t="s">
        <v>6</v>
      </c>
      <c r="E10" s="12"/>
      <c r="F10" s="12"/>
      <c r="G10" s="6"/>
      <c r="H10" s="6"/>
    </row>
    <row r="11" customFormat="false" ht="6" hidden="false" customHeight="true" outlineLevel="0" collapsed="false">
      <c r="A11" s="6"/>
      <c r="B11" s="6"/>
      <c r="C11" s="6"/>
      <c r="D11" s="6"/>
      <c r="E11" s="6"/>
      <c r="F11" s="6"/>
      <c r="G11" s="6"/>
      <c r="H11" s="6"/>
    </row>
    <row r="12" customFormat="false" ht="39.75" hidden="false" customHeight="true" outlineLevel="0" collapsed="false">
      <c r="A12" s="6"/>
      <c r="B12" s="13" t="n">
        <v>2</v>
      </c>
      <c r="C12" s="11" t="s">
        <v>7</v>
      </c>
      <c r="D12" s="12" t="s">
        <v>8</v>
      </c>
      <c r="E12" s="12"/>
      <c r="F12" s="12"/>
      <c r="G12" s="6"/>
      <c r="H12" s="6"/>
    </row>
    <row r="13" customFormat="false" ht="6" hidden="false" customHeight="true" outlineLevel="0" collapsed="false">
      <c r="A13" s="6"/>
      <c r="B13" s="6"/>
      <c r="C13" s="6"/>
      <c r="D13" s="6"/>
      <c r="E13" s="6"/>
      <c r="F13" s="6"/>
      <c r="G13" s="6"/>
      <c r="H13" s="6"/>
    </row>
    <row r="14" customFormat="false" ht="39.75" hidden="false" customHeight="true" outlineLevel="0" collapsed="false">
      <c r="A14" s="6"/>
      <c r="B14" s="10" t="n">
        <v>3</v>
      </c>
      <c r="C14" s="11" t="s">
        <v>9</v>
      </c>
      <c r="D14" s="12" t="s">
        <v>10</v>
      </c>
      <c r="E14" s="12"/>
      <c r="F14" s="12"/>
      <c r="G14" s="6"/>
      <c r="H14" s="6"/>
    </row>
    <row r="15" customFormat="false" ht="6" hidden="false" customHeight="true" outlineLevel="0" collapsed="false">
      <c r="A15" s="6"/>
      <c r="B15" s="6"/>
      <c r="C15" s="6"/>
      <c r="D15" s="6"/>
      <c r="E15" s="6"/>
      <c r="F15" s="6"/>
      <c r="G15" s="6"/>
      <c r="H15" s="6"/>
    </row>
    <row r="16" customFormat="false" ht="39.75" hidden="false" customHeight="true" outlineLevel="0" collapsed="false">
      <c r="A16" s="6"/>
      <c r="B16" s="13" t="n">
        <v>4</v>
      </c>
      <c r="C16" s="11" t="s">
        <v>11</v>
      </c>
      <c r="D16" s="12" t="s">
        <v>12</v>
      </c>
      <c r="E16" s="12"/>
      <c r="F16" s="12"/>
      <c r="G16" s="6"/>
      <c r="H16" s="6"/>
    </row>
    <row r="17" customFormat="false" ht="6" hidden="false" customHeight="true" outlineLevel="0" collapsed="false">
      <c r="A17" s="6"/>
      <c r="B17" s="6"/>
      <c r="C17" s="6"/>
      <c r="D17" s="6"/>
      <c r="E17" s="6"/>
      <c r="F17" s="6"/>
      <c r="G17" s="6"/>
      <c r="H17" s="6"/>
    </row>
    <row r="18" customFormat="false" ht="39.75" hidden="false" customHeight="true" outlineLevel="0" collapsed="false">
      <c r="A18" s="6"/>
      <c r="B18" s="10" t="n">
        <v>5</v>
      </c>
      <c r="C18" s="11" t="s">
        <v>13</v>
      </c>
      <c r="D18" s="12" t="s">
        <v>14</v>
      </c>
      <c r="E18" s="12"/>
      <c r="F18" s="12"/>
      <c r="G18" s="6"/>
      <c r="H18" s="6"/>
    </row>
    <row r="19" customFormat="false" ht="6" hidden="false" customHeight="true" outlineLevel="0" collapsed="false">
      <c r="A19" s="6"/>
      <c r="B19" s="6"/>
      <c r="C19" s="6"/>
      <c r="D19" s="6"/>
      <c r="E19" s="6"/>
      <c r="F19" s="6"/>
      <c r="G19" s="6"/>
      <c r="H19" s="6"/>
    </row>
    <row r="20" customFormat="false" ht="39.75" hidden="false" customHeight="true" outlineLevel="0" collapsed="false">
      <c r="A20" s="6"/>
      <c r="B20" s="13" t="n">
        <v>6</v>
      </c>
      <c r="C20" s="11" t="s">
        <v>15</v>
      </c>
      <c r="D20" s="12" t="s">
        <v>16</v>
      </c>
      <c r="E20" s="12"/>
      <c r="F20" s="12"/>
      <c r="G20" s="6"/>
      <c r="H20" s="6"/>
    </row>
    <row r="21" customFormat="false" ht="6" hidden="false" customHeight="true" outlineLevel="0" collapsed="false">
      <c r="A21" s="6"/>
      <c r="B21" s="6"/>
      <c r="C21" s="6"/>
      <c r="D21" s="6"/>
      <c r="E21" s="6"/>
      <c r="F21" s="6"/>
      <c r="G21" s="6"/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</row>
    <row r="23" customFormat="false" ht="16.15" hidden="false" customHeight="false" outlineLevel="0" collapsed="false">
      <c r="A23" s="6"/>
      <c r="B23" s="9" t="s">
        <v>17</v>
      </c>
      <c r="C23" s="6"/>
      <c r="D23" s="6"/>
      <c r="E23" s="6"/>
      <c r="F23" s="6"/>
      <c r="G23" s="6"/>
      <c r="H23" s="6"/>
    </row>
    <row r="24" customFormat="false" ht="24" hidden="false" customHeight="true" outlineLevel="0" collapsed="false">
      <c r="A24" s="6"/>
      <c r="B24" s="14" t="s">
        <v>18</v>
      </c>
      <c r="C24" s="15" t="s">
        <v>19</v>
      </c>
      <c r="D24" s="16" t="s">
        <v>20</v>
      </c>
      <c r="E24" s="6"/>
      <c r="F24" s="6"/>
      <c r="G24" s="6"/>
      <c r="H24" s="6"/>
    </row>
    <row r="25" customFormat="false" ht="24" hidden="false" customHeight="true" outlineLevel="0" collapsed="false">
      <c r="A25" s="6"/>
      <c r="B25" s="17" t="s">
        <v>18</v>
      </c>
      <c r="C25" s="15" t="s">
        <v>21</v>
      </c>
      <c r="D25" s="16" t="s">
        <v>22</v>
      </c>
      <c r="E25" s="6"/>
      <c r="F25" s="6"/>
      <c r="G25" s="6"/>
      <c r="H25" s="6"/>
    </row>
    <row r="26" customFormat="false" ht="24" hidden="false" customHeight="true" outlineLevel="0" collapsed="false">
      <c r="A26" s="6"/>
      <c r="B26" s="18" t="s">
        <v>18</v>
      </c>
      <c r="C26" s="15" t="s">
        <v>23</v>
      </c>
      <c r="D26" s="16" t="s">
        <v>24</v>
      </c>
      <c r="E26" s="6"/>
      <c r="F26" s="6"/>
      <c r="G26" s="6"/>
      <c r="H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</row>
    <row r="28" customFormat="false" ht="20.1" hidden="false" customHeight="false" outlineLevel="0" collapsed="false">
      <c r="A28" s="6"/>
      <c r="B28" s="9" t="s">
        <v>25</v>
      </c>
      <c r="C28" s="6"/>
      <c r="D28" s="6"/>
      <c r="E28" s="6"/>
      <c r="F28" s="6"/>
      <c r="G28" s="6"/>
      <c r="H28" s="6"/>
    </row>
    <row r="29" customFormat="false" ht="21.75" hidden="false" customHeight="true" outlineLevel="0" collapsed="false">
      <c r="A29" s="6"/>
      <c r="B29" s="19" t="s">
        <v>26</v>
      </c>
      <c r="C29" s="19"/>
      <c r="D29" s="20" t="s">
        <v>27</v>
      </c>
      <c r="E29" s="20"/>
      <c r="F29" s="20"/>
      <c r="G29" s="6"/>
      <c r="H29" s="6"/>
    </row>
    <row r="30" customFormat="false" ht="21.75" hidden="false" customHeight="true" outlineLevel="0" collapsed="false">
      <c r="A30" s="6"/>
      <c r="B30" s="21" t="s">
        <v>28</v>
      </c>
      <c r="C30" s="21"/>
      <c r="D30" s="22" t="s">
        <v>29</v>
      </c>
      <c r="E30" s="22"/>
      <c r="F30" s="22"/>
      <c r="G30" s="6"/>
      <c r="H30" s="6"/>
    </row>
    <row r="31" customFormat="false" ht="21.75" hidden="false" customHeight="true" outlineLevel="0" collapsed="false">
      <c r="A31" s="6"/>
      <c r="B31" s="19" t="s">
        <v>30</v>
      </c>
      <c r="C31" s="19"/>
      <c r="D31" s="20" t="s">
        <v>31</v>
      </c>
      <c r="E31" s="20"/>
      <c r="F31" s="20"/>
      <c r="G31" s="6"/>
      <c r="H31" s="6"/>
    </row>
    <row r="32" customFormat="false" ht="21.75" hidden="false" customHeight="true" outlineLevel="0" collapsed="false">
      <c r="A32" s="6"/>
      <c r="B32" s="21" t="s">
        <v>32</v>
      </c>
      <c r="C32" s="21"/>
      <c r="D32" s="22" t="s">
        <v>33</v>
      </c>
      <c r="E32" s="22"/>
      <c r="F32" s="22"/>
      <c r="G32" s="6"/>
      <c r="H32" s="6"/>
    </row>
    <row r="33" customFormat="false" ht="21.75" hidden="false" customHeight="true" outlineLevel="0" collapsed="false">
      <c r="A33" s="6"/>
      <c r="B33" s="19" t="s">
        <v>34</v>
      </c>
      <c r="C33" s="19"/>
      <c r="D33" s="20" t="s">
        <v>35</v>
      </c>
      <c r="E33" s="20"/>
      <c r="F33" s="20"/>
      <c r="G33" s="6"/>
      <c r="H33" s="6"/>
    </row>
    <row r="34" customFormat="false" ht="21.75" hidden="false" customHeight="true" outlineLevel="0" collapsed="false">
      <c r="A34" s="6"/>
      <c r="B34" s="21" t="s">
        <v>36</v>
      </c>
      <c r="C34" s="21"/>
      <c r="D34" s="22" t="s">
        <v>37</v>
      </c>
      <c r="E34" s="22"/>
      <c r="F34" s="22"/>
      <c r="G34" s="6"/>
      <c r="H34" s="6"/>
    </row>
    <row r="35" customFormat="false" ht="21.75" hidden="false" customHeight="true" outlineLevel="0" collapsed="false">
      <c r="A35" s="6"/>
      <c r="B35" s="19" t="s">
        <v>38</v>
      </c>
      <c r="C35" s="19"/>
      <c r="D35" s="20" t="s">
        <v>39</v>
      </c>
      <c r="E35" s="20"/>
      <c r="F35" s="20"/>
      <c r="G35" s="6"/>
      <c r="H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</row>
    <row r="37" customFormat="false" ht="21.75" hidden="false" customHeight="true" outlineLevel="0" collapsed="false">
      <c r="A37" s="6"/>
      <c r="B37" s="23" t="s">
        <v>40</v>
      </c>
      <c r="C37" s="23"/>
      <c r="D37" s="23"/>
      <c r="E37" s="23"/>
      <c r="F37" s="23"/>
      <c r="G37" s="6"/>
      <c r="H37" s="6"/>
    </row>
    <row r="38" customFormat="false" ht="21.75" hidden="false" customHeight="true" outlineLevel="0" collapsed="false">
      <c r="A38" s="6"/>
      <c r="B38" s="23"/>
      <c r="C38" s="23"/>
      <c r="D38" s="23"/>
      <c r="E38" s="23"/>
      <c r="F38" s="23"/>
      <c r="G38" s="6"/>
      <c r="H38" s="6"/>
    </row>
    <row r="39" customFormat="false" ht="21.75" hidden="false" customHeight="true" outlineLevel="0" collapsed="false">
      <c r="A39" s="6"/>
      <c r="B39" s="23"/>
      <c r="C39" s="23"/>
      <c r="D39" s="23"/>
      <c r="E39" s="23"/>
      <c r="F39" s="23"/>
      <c r="G39" s="6"/>
      <c r="H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</row>
  </sheetData>
  <mergeCells count="23">
    <mergeCell ref="B6:F6"/>
    <mergeCell ref="B7:F7"/>
    <mergeCell ref="D10:F10"/>
    <mergeCell ref="D12:F12"/>
    <mergeCell ref="D14:F14"/>
    <mergeCell ref="D16:F16"/>
    <mergeCell ref="D18:F18"/>
    <mergeCell ref="D20:F20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7:F39"/>
  </mergeCells>
  <hyperlinks>
    <hyperlink ref="B6" r:id="rId1" display="🧮 직원 뽑기 전에 인건비부터 계산해 보세요 → 사장님계산기 ceoc.app (무료, 회원가입 없음)"/>
    <hyperlink ref="B7" r:id="rId2" display="알바 인건비 총액 · 주휴수당 · 4대보험 · 퇴직금 · 연장수당 계산기와 매일 갱신되는 정부 지원사업 모음까지 → https://ceoc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902A"/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16"/>
    <col collapsed="false" customWidth="true" hidden="false" outlineLevel="0" max="4" min="4" style="0" width="64"/>
    <col collapsed="false" customWidth="true" hidden="false" outlineLevel="0" max="6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7.5" hidden="false" customHeight="true" outlineLevel="0" collapsed="false">
      <c r="A2" s="2"/>
      <c r="B2" s="3" t="s">
        <v>41</v>
      </c>
      <c r="C2" s="2"/>
      <c r="D2" s="2"/>
      <c r="E2" s="2"/>
      <c r="F2" s="2"/>
    </row>
    <row r="3" customFormat="false" ht="21.75" hidden="false" customHeight="true" outlineLevel="0" collapsed="false">
      <c r="A3" s="2"/>
      <c r="B3" s="4" t="s">
        <v>42</v>
      </c>
      <c r="C3" s="2"/>
      <c r="D3" s="2"/>
      <c r="E3" s="2"/>
      <c r="F3" s="2"/>
    </row>
    <row r="4" customFormat="false" ht="7.5" hidden="false" customHeight="true" outlineLevel="0" collapsed="false">
      <c r="A4" s="5"/>
      <c r="B4" s="5"/>
      <c r="C4" s="5"/>
      <c r="D4" s="5"/>
      <c r="E4" s="5"/>
      <c r="F4" s="5"/>
    </row>
    <row r="5" customFormat="false" ht="15" hidden="false" customHeight="false" outlineLevel="0" collapsed="false">
      <c r="A5" s="6"/>
      <c r="B5" s="6"/>
      <c r="C5" s="6"/>
      <c r="D5" s="6"/>
      <c r="E5" s="6"/>
      <c r="F5" s="6"/>
    </row>
    <row r="6" customFormat="false" ht="24" hidden="false" customHeight="true" outlineLevel="0" collapsed="false">
      <c r="A6" s="6"/>
      <c r="B6" s="24" t="s">
        <v>43</v>
      </c>
      <c r="C6" s="24" t="s">
        <v>44</v>
      </c>
      <c r="D6" s="25" t="s">
        <v>45</v>
      </c>
      <c r="E6" s="6"/>
      <c r="F6" s="6"/>
    </row>
    <row r="7" customFormat="false" ht="24" hidden="false" customHeight="true" outlineLevel="0" collapsed="false">
      <c r="A7" s="6"/>
      <c r="B7" s="26" t="s">
        <v>46</v>
      </c>
      <c r="C7" s="27" t="s">
        <v>47</v>
      </c>
      <c r="D7" s="28" t="s">
        <v>48</v>
      </c>
      <c r="E7" s="6"/>
      <c r="F7" s="6"/>
    </row>
    <row r="8" customFormat="false" ht="24" hidden="false" customHeight="true" outlineLevel="0" collapsed="false">
      <c r="A8" s="6"/>
      <c r="B8" s="29" t="s">
        <v>26</v>
      </c>
      <c r="C8" s="30" t="n">
        <v>10320</v>
      </c>
      <c r="D8" s="31" t="s">
        <v>49</v>
      </c>
      <c r="E8" s="6"/>
      <c r="F8" s="6"/>
    </row>
    <row r="9" customFormat="false" ht="24" hidden="false" customHeight="true" outlineLevel="0" collapsed="false">
      <c r="A9" s="6"/>
      <c r="B9" s="26" t="s">
        <v>50</v>
      </c>
      <c r="C9" s="32" t="n">
        <v>0.0475</v>
      </c>
      <c r="D9" s="28" t="s">
        <v>51</v>
      </c>
      <c r="E9" s="6"/>
      <c r="F9" s="6"/>
    </row>
    <row r="10" customFormat="false" ht="24" hidden="false" customHeight="true" outlineLevel="0" collapsed="false">
      <c r="A10" s="6"/>
      <c r="B10" s="29" t="s">
        <v>52</v>
      </c>
      <c r="C10" s="32" t="n">
        <v>0.0475</v>
      </c>
      <c r="D10" s="31" t="s">
        <v>51</v>
      </c>
      <c r="E10" s="6"/>
      <c r="F10" s="6"/>
    </row>
    <row r="11" customFormat="false" ht="24" hidden="false" customHeight="true" outlineLevel="0" collapsed="false">
      <c r="A11" s="6"/>
      <c r="B11" s="26" t="s">
        <v>53</v>
      </c>
      <c r="C11" s="30" t="n">
        <v>410000</v>
      </c>
      <c r="D11" s="28" t="s">
        <v>54</v>
      </c>
      <c r="E11" s="6"/>
      <c r="F11" s="6"/>
    </row>
    <row r="12" customFormat="false" ht="24" hidden="false" customHeight="true" outlineLevel="0" collapsed="false">
      <c r="A12" s="6"/>
      <c r="B12" s="29" t="s">
        <v>55</v>
      </c>
      <c r="C12" s="30" t="n">
        <v>6590000</v>
      </c>
      <c r="D12" s="31" t="s">
        <v>54</v>
      </c>
      <c r="E12" s="6"/>
      <c r="F12" s="6"/>
    </row>
    <row r="13" customFormat="false" ht="24" hidden="false" customHeight="true" outlineLevel="0" collapsed="false">
      <c r="A13" s="6"/>
      <c r="B13" s="26" t="s">
        <v>56</v>
      </c>
      <c r="C13" s="33" t="n">
        <v>0.03595</v>
      </c>
      <c r="D13" s="28" t="s">
        <v>57</v>
      </c>
      <c r="E13" s="6"/>
      <c r="F13" s="6"/>
    </row>
    <row r="14" customFormat="false" ht="24" hidden="false" customHeight="true" outlineLevel="0" collapsed="false">
      <c r="A14" s="6"/>
      <c r="B14" s="29" t="s">
        <v>58</v>
      </c>
      <c r="C14" s="34" t="n">
        <f aca="false">0.9448/7.19</f>
        <v>0.131404728789986</v>
      </c>
      <c r="D14" s="31" t="s">
        <v>59</v>
      </c>
      <c r="E14" s="6"/>
      <c r="F14" s="6"/>
    </row>
    <row r="15" customFormat="false" ht="24" hidden="false" customHeight="true" outlineLevel="0" collapsed="false">
      <c r="A15" s="6"/>
      <c r="B15" s="26" t="s">
        <v>60</v>
      </c>
      <c r="C15" s="32" t="n">
        <v>0.009</v>
      </c>
      <c r="D15" s="28" t="s">
        <v>61</v>
      </c>
      <c r="E15" s="6"/>
      <c r="F15" s="6"/>
    </row>
    <row r="16" customFormat="false" ht="24" hidden="false" customHeight="true" outlineLevel="0" collapsed="false">
      <c r="A16" s="6"/>
      <c r="B16" s="29" t="s">
        <v>62</v>
      </c>
      <c r="C16" s="32" t="n">
        <v>0.0115</v>
      </c>
      <c r="D16" s="31" t="s">
        <v>63</v>
      </c>
      <c r="E16" s="6"/>
      <c r="F16" s="6"/>
    </row>
    <row r="17" customFormat="false" ht="24" hidden="false" customHeight="true" outlineLevel="0" collapsed="false">
      <c r="A17" s="6"/>
      <c r="B17" s="26" t="s">
        <v>64</v>
      </c>
      <c r="C17" s="32" t="n">
        <v>0.0147</v>
      </c>
      <c r="D17" s="28" t="s">
        <v>65</v>
      </c>
      <c r="E17" s="6"/>
      <c r="F17" s="6"/>
    </row>
    <row r="18" customFormat="false" ht="24" hidden="false" customHeight="true" outlineLevel="0" collapsed="false">
      <c r="A18" s="6"/>
      <c r="B18" s="29" t="s">
        <v>66</v>
      </c>
      <c r="C18" s="30" t="n">
        <v>200000</v>
      </c>
      <c r="D18" s="31" t="s">
        <v>67</v>
      </c>
      <c r="E18" s="6"/>
      <c r="F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</row>
    <row r="20" customFormat="false" ht="15" hidden="false" customHeight="false" outlineLevel="0" collapsed="false">
      <c r="A20" s="6"/>
      <c r="B20" s="35" t="s">
        <v>68</v>
      </c>
      <c r="C20" s="6"/>
      <c r="D20" s="6"/>
      <c r="E20" s="6"/>
      <c r="F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</row>
  </sheetData>
  <dataValidations count="1">
    <dataValidation allowBlank="false" errorStyle="stop" operator="between" showDropDown="false" showErrorMessage="false" showInputMessage="false" sqref="C7" type="list">
      <formula1>"예,아니오"</formula1>
      <formula2>0</formula2>
    </dataValidation>
  </dataValidations>
  <hyperlinks>
    <hyperlink ref="B20" r:id="rId1" display="▶ 최신 요율과 계산 공식 확인: 사장님계산기 https://ceoc.app/insuranc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B7BB5"/>
    <pageSetUpPr fitToPage="true"/>
  </sheetPr>
  <dimension ref="A1:K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8" min="6" style="0" width="11"/>
    <col collapsed="false" customWidth="true" hidden="false" outlineLevel="0" max="9" min="9" style="0" width="12"/>
    <col collapsed="false" customWidth="true" hidden="false" outlineLevel="0" max="10" min="10" style="0" width="28"/>
    <col collapsed="false" customWidth="true" hidden="false" outlineLevel="0" max="11" min="11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7.5" hidden="false" customHeight="true" outlineLevel="0" collapsed="false">
      <c r="A2" s="2"/>
      <c r="B2" s="3" t="s">
        <v>69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1.75" hidden="false" customHeight="true" outlineLevel="0" collapsed="false">
      <c r="A3" s="2"/>
      <c r="B3" s="4" t="s">
        <v>70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7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customFormat="false" ht="33.75" hidden="false" customHeight="true" outlineLevel="0" collapsed="false">
      <c r="A6" s="6"/>
      <c r="B6" s="36" t="s">
        <v>71</v>
      </c>
      <c r="C6" s="36" t="s">
        <v>72</v>
      </c>
      <c r="D6" s="36" t="s">
        <v>73</v>
      </c>
      <c r="E6" s="36" t="s">
        <v>74</v>
      </c>
      <c r="F6" s="36" t="s">
        <v>75</v>
      </c>
      <c r="G6" s="36" t="s">
        <v>76</v>
      </c>
      <c r="H6" s="36" t="s">
        <v>77</v>
      </c>
      <c r="I6" s="36" t="s">
        <v>78</v>
      </c>
      <c r="J6" s="36" t="s">
        <v>79</v>
      </c>
      <c r="K6" s="6"/>
    </row>
    <row r="7" customFormat="false" ht="19.5" hidden="false" customHeight="true" outlineLevel="0" collapsed="false">
      <c r="A7" s="6"/>
      <c r="B7" s="37" t="s">
        <v>80</v>
      </c>
      <c r="C7" s="38" t="n">
        <v>10320</v>
      </c>
      <c r="D7" s="39" t="n">
        <v>20</v>
      </c>
      <c r="E7" s="40" t="n">
        <v>46083</v>
      </c>
      <c r="F7" s="41" t="s">
        <v>81</v>
      </c>
      <c r="G7" s="41" t="s">
        <v>81</v>
      </c>
      <c r="H7" s="41" t="s">
        <v>81</v>
      </c>
      <c r="I7" s="38" t="n">
        <v>0</v>
      </c>
      <c r="J7" s="37" t="s">
        <v>82</v>
      </c>
      <c r="K7" s="6"/>
    </row>
    <row r="8" customFormat="false" ht="19.5" hidden="false" customHeight="true" outlineLevel="0" collapsed="false">
      <c r="A8" s="6"/>
      <c r="B8" s="37" t="s">
        <v>83</v>
      </c>
      <c r="C8" s="38" t="n">
        <v>11000</v>
      </c>
      <c r="D8" s="39" t="n">
        <v>40</v>
      </c>
      <c r="E8" s="40" t="n">
        <v>45901</v>
      </c>
      <c r="F8" s="41" t="s">
        <v>81</v>
      </c>
      <c r="G8" s="41" t="s">
        <v>81</v>
      </c>
      <c r="H8" s="41" t="s">
        <v>81</v>
      </c>
      <c r="I8" s="38" t="n">
        <v>200000</v>
      </c>
      <c r="J8" s="37" t="s">
        <v>84</v>
      </c>
      <c r="K8" s="6"/>
    </row>
    <row r="9" customFormat="false" ht="19.5" hidden="false" customHeight="true" outlineLevel="0" collapsed="false">
      <c r="A9" s="6"/>
      <c r="B9" s="37"/>
      <c r="C9" s="38"/>
      <c r="D9" s="39"/>
      <c r="E9" s="40"/>
      <c r="F9" s="41"/>
      <c r="G9" s="41"/>
      <c r="H9" s="41"/>
      <c r="I9" s="38"/>
      <c r="J9" s="37"/>
      <c r="K9" s="6"/>
    </row>
    <row r="10" customFormat="false" ht="19.5" hidden="false" customHeight="true" outlineLevel="0" collapsed="false">
      <c r="A10" s="6"/>
      <c r="B10" s="37"/>
      <c r="C10" s="38"/>
      <c r="D10" s="39"/>
      <c r="E10" s="40"/>
      <c r="F10" s="41"/>
      <c r="G10" s="41"/>
      <c r="H10" s="41"/>
      <c r="I10" s="38"/>
      <c r="J10" s="37"/>
      <c r="K10" s="6"/>
    </row>
    <row r="11" customFormat="false" ht="19.5" hidden="false" customHeight="true" outlineLevel="0" collapsed="false">
      <c r="A11" s="6"/>
      <c r="B11" s="37"/>
      <c r="C11" s="38"/>
      <c r="D11" s="39"/>
      <c r="E11" s="40"/>
      <c r="F11" s="41"/>
      <c r="G11" s="41"/>
      <c r="H11" s="41"/>
      <c r="I11" s="38"/>
      <c r="J11" s="37"/>
      <c r="K11" s="6"/>
    </row>
    <row r="12" customFormat="false" ht="19.5" hidden="false" customHeight="true" outlineLevel="0" collapsed="false">
      <c r="A12" s="6"/>
      <c r="B12" s="37"/>
      <c r="C12" s="38"/>
      <c r="D12" s="39"/>
      <c r="E12" s="40"/>
      <c r="F12" s="41"/>
      <c r="G12" s="41"/>
      <c r="H12" s="41"/>
      <c r="I12" s="38"/>
      <c r="J12" s="37"/>
      <c r="K12" s="6"/>
    </row>
    <row r="13" customFormat="false" ht="19.5" hidden="false" customHeight="true" outlineLevel="0" collapsed="false">
      <c r="A13" s="6"/>
      <c r="B13" s="37"/>
      <c r="C13" s="38"/>
      <c r="D13" s="39"/>
      <c r="E13" s="40"/>
      <c r="F13" s="41"/>
      <c r="G13" s="41"/>
      <c r="H13" s="41"/>
      <c r="I13" s="38"/>
      <c r="J13" s="37"/>
      <c r="K13" s="6"/>
    </row>
    <row r="14" customFormat="false" ht="19.5" hidden="false" customHeight="true" outlineLevel="0" collapsed="false">
      <c r="A14" s="6"/>
      <c r="B14" s="37"/>
      <c r="C14" s="38"/>
      <c r="D14" s="39"/>
      <c r="E14" s="40"/>
      <c r="F14" s="41"/>
      <c r="G14" s="41"/>
      <c r="H14" s="41"/>
      <c r="I14" s="38"/>
      <c r="J14" s="37"/>
      <c r="K14" s="6"/>
    </row>
    <row r="15" customFormat="false" ht="19.5" hidden="false" customHeight="true" outlineLevel="0" collapsed="false">
      <c r="A15" s="6"/>
      <c r="B15" s="37"/>
      <c r="C15" s="38"/>
      <c r="D15" s="39"/>
      <c r="E15" s="40"/>
      <c r="F15" s="41"/>
      <c r="G15" s="41"/>
      <c r="H15" s="41"/>
      <c r="I15" s="38"/>
      <c r="J15" s="37"/>
      <c r="K15" s="6"/>
    </row>
    <row r="16" customFormat="false" ht="19.5" hidden="false" customHeight="true" outlineLevel="0" collapsed="false">
      <c r="A16" s="6"/>
      <c r="B16" s="37"/>
      <c r="C16" s="38"/>
      <c r="D16" s="39"/>
      <c r="E16" s="40"/>
      <c r="F16" s="41"/>
      <c r="G16" s="41"/>
      <c r="H16" s="41"/>
      <c r="I16" s="38"/>
      <c r="J16" s="37"/>
      <c r="K16" s="6"/>
    </row>
    <row r="17" customFormat="false" ht="19.5" hidden="false" customHeight="true" outlineLevel="0" collapsed="false">
      <c r="A17" s="6"/>
      <c r="B17" s="37"/>
      <c r="C17" s="38"/>
      <c r="D17" s="39"/>
      <c r="E17" s="40"/>
      <c r="F17" s="41"/>
      <c r="G17" s="41"/>
      <c r="H17" s="41"/>
      <c r="I17" s="38"/>
      <c r="J17" s="37"/>
      <c r="K17" s="6"/>
    </row>
    <row r="18" customFormat="false" ht="19.5" hidden="false" customHeight="true" outlineLevel="0" collapsed="false">
      <c r="A18" s="6"/>
      <c r="B18" s="37"/>
      <c r="C18" s="38"/>
      <c r="D18" s="39"/>
      <c r="E18" s="40"/>
      <c r="F18" s="41"/>
      <c r="G18" s="41"/>
      <c r="H18" s="41"/>
      <c r="I18" s="38"/>
      <c r="J18" s="37"/>
      <c r="K18" s="6"/>
    </row>
    <row r="19" customFormat="false" ht="19.5" hidden="false" customHeight="true" outlineLevel="0" collapsed="false">
      <c r="A19" s="6"/>
      <c r="B19" s="37"/>
      <c r="C19" s="38"/>
      <c r="D19" s="39"/>
      <c r="E19" s="40"/>
      <c r="F19" s="41"/>
      <c r="G19" s="41"/>
      <c r="H19" s="41"/>
      <c r="I19" s="38"/>
      <c r="J19" s="37"/>
      <c r="K19" s="6"/>
    </row>
    <row r="20" customFormat="false" ht="19.5" hidden="false" customHeight="true" outlineLevel="0" collapsed="false">
      <c r="A20" s="6"/>
      <c r="B20" s="37"/>
      <c r="C20" s="38"/>
      <c r="D20" s="39"/>
      <c r="E20" s="40"/>
      <c r="F20" s="41"/>
      <c r="G20" s="41"/>
      <c r="H20" s="41"/>
      <c r="I20" s="38"/>
      <c r="J20" s="37"/>
      <c r="K20" s="6"/>
    </row>
    <row r="21" customFormat="false" ht="19.5" hidden="false" customHeight="true" outlineLevel="0" collapsed="false">
      <c r="A21" s="6"/>
      <c r="B21" s="37"/>
      <c r="C21" s="38"/>
      <c r="D21" s="39"/>
      <c r="E21" s="40"/>
      <c r="F21" s="41"/>
      <c r="G21" s="41"/>
      <c r="H21" s="41"/>
      <c r="I21" s="38"/>
      <c r="J21" s="37"/>
      <c r="K21" s="6"/>
    </row>
    <row r="22" customFormat="false" ht="19.5" hidden="false" customHeight="true" outlineLevel="0" collapsed="false">
      <c r="A22" s="6"/>
      <c r="B22" s="37"/>
      <c r="C22" s="38"/>
      <c r="D22" s="39"/>
      <c r="E22" s="40"/>
      <c r="F22" s="41"/>
      <c r="G22" s="41"/>
      <c r="H22" s="41"/>
      <c r="I22" s="38"/>
      <c r="J22" s="37"/>
      <c r="K22" s="6"/>
    </row>
    <row r="23" customFormat="false" ht="19.5" hidden="false" customHeight="true" outlineLevel="0" collapsed="false">
      <c r="A23" s="6"/>
      <c r="B23" s="37"/>
      <c r="C23" s="38"/>
      <c r="D23" s="39"/>
      <c r="E23" s="40"/>
      <c r="F23" s="41"/>
      <c r="G23" s="41"/>
      <c r="H23" s="41"/>
      <c r="I23" s="38"/>
      <c r="J23" s="37"/>
      <c r="K23" s="6"/>
    </row>
    <row r="24" customFormat="false" ht="19.5" hidden="false" customHeight="true" outlineLevel="0" collapsed="false">
      <c r="A24" s="6"/>
      <c r="B24" s="37"/>
      <c r="C24" s="38"/>
      <c r="D24" s="39"/>
      <c r="E24" s="40"/>
      <c r="F24" s="41"/>
      <c r="G24" s="41"/>
      <c r="H24" s="41"/>
      <c r="I24" s="38"/>
      <c r="J24" s="37"/>
      <c r="K24" s="6"/>
    </row>
    <row r="25" customFormat="false" ht="19.5" hidden="false" customHeight="true" outlineLevel="0" collapsed="false">
      <c r="A25" s="6"/>
      <c r="B25" s="37"/>
      <c r="C25" s="38"/>
      <c r="D25" s="39"/>
      <c r="E25" s="40"/>
      <c r="F25" s="41"/>
      <c r="G25" s="41"/>
      <c r="H25" s="41"/>
      <c r="I25" s="38"/>
      <c r="J25" s="37"/>
      <c r="K25" s="6"/>
    </row>
    <row r="26" customFormat="false" ht="19.5" hidden="false" customHeight="true" outlineLevel="0" collapsed="false">
      <c r="A26" s="6"/>
      <c r="B26" s="37"/>
      <c r="C26" s="38"/>
      <c r="D26" s="39"/>
      <c r="E26" s="40"/>
      <c r="F26" s="41"/>
      <c r="G26" s="41"/>
      <c r="H26" s="41"/>
      <c r="I26" s="38"/>
      <c r="J26" s="37"/>
      <c r="K26" s="6"/>
    </row>
    <row r="27" customFormat="false" ht="19.5" hidden="false" customHeight="true" outlineLevel="0" collapsed="false">
      <c r="A27" s="6"/>
      <c r="B27" s="37"/>
      <c r="C27" s="38"/>
      <c r="D27" s="39"/>
      <c r="E27" s="40"/>
      <c r="F27" s="41"/>
      <c r="G27" s="41"/>
      <c r="H27" s="41"/>
      <c r="I27" s="38"/>
      <c r="J27" s="37"/>
      <c r="K27" s="6"/>
    </row>
    <row r="28" customFormat="false" ht="19.5" hidden="false" customHeight="true" outlineLevel="0" collapsed="false">
      <c r="A28" s="6"/>
      <c r="B28" s="37"/>
      <c r="C28" s="38"/>
      <c r="D28" s="39"/>
      <c r="E28" s="40"/>
      <c r="F28" s="41"/>
      <c r="G28" s="41"/>
      <c r="H28" s="41"/>
      <c r="I28" s="38"/>
      <c r="J28" s="37"/>
      <c r="K28" s="6"/>
    </row>
    <row r="29" customFormat="false" ht="19.5" hidden="false" customHeight="true" outlineLevel="0" collapsed="false">
      <c r="A29" s="6"/>
      <c r="B29" s="37"/>
      <c r="C29" s="38"/>
      <c r="D29" s="39"/>
      <c r="E29" s="40"/>
      <c r="F29" s="41"/>
      <c r="G29" s="41"/>
      <c r="H29" s="41"/>
      <c r="I29" s="38"/>
      <c r="J29" s="37"/>
      <c r="K29" s="6"/>
    </row>
    <row r="30" customFormat="false" ht="19.5" hidden="false" customHeight="true" outlineLevel="0" collapsed="false">
      <c r="A30" s="6"/>
      <c r="B30" s="37"/>
      <c r="C30" s="38"/>
      <c r="D30" s="39"/>
      <c r="E30" s="40"/>
      <c r="F30" s="41"/>
      <c r="G30" s="41"/>
      <c r="H30" s="41"/>
      <c r="I30" s="38"/>
      <c r="J30" s="37"/>
      <c r="K30" s="6"/>
    </row>
    <row r="31" customFormat="false" ht="19.5" hidden="false" customHeight="true" outlineLevel="0" collapsed="false">
      <c r="A31" s="6"/>
      <c r="B31" s="37"/>
      <c r="C31" s="38"/>
      <c r="D31" s="39"/>
      <c r="E31" s="40"/>
      <c r="F31" s="41"/>
      <c r="G31" s="41"/>
      <c r="H31" s="41"/>
      <c r="I31" s="38"/>
      <c r="J31" s="37"/>
      <c r="K31" s="6"/>
    </row>
    <row r="32" customFormat="false" ht="19.5" hidden="false" customHeight="true" outlineLevel="0" collapsed="false">
      <c r="A32" s="6"/>
      <c r="B32" s="37"/>
      <c r="C32" s="38"/>
      <c r="D32" s="39"/>
      <c r="E32" s="40"/>
      <c r="F32" s="41"/>
      <c r="G32" s="41"/>
      <c r="H32" s="41"/>
      <c r="I32" s="38"/>
      <c r="J32" s="37"/>
      <c r="K32" s="6"/>
    </row>
    <row r="33" customFormat="false" ht="19.5" hidden="false" customHeight="true" outlineLevel="0" collapsed="false">
      <c r="A33" s="6"/>
      <c r="B33" s="37"/>
      <c r="C33" s="38"/>
      <c r="D33" s="39"/>
      <c r="E33" s="40"/>
      <c r="F33" s="41"/>
      <c r="G33" s="41"/>
      <c r="H33" s="41"/>
      <c r="I33" s="38"/>
      <c r="J33" s="37"/>
      <c r="K33" s="6"/>
    </row>
    <row r="34" customFormat="false" ht="19.5" hidden="false" customHeight="true" outlineLevel="0" collapsed="false">
      <c r="A34" s="6"/>
      <c r="B34" s="37"/>
      <c r="C34" s="38"/>
      <c r="D34" s="39"/>
      <c r="E34" s="40"/>
      <c r="F34" s="41"/>
      <c r="G34" s="41"/>
      <c r="H34" s="41"/>
      <c r="I34" s="38"/>
      <c r="J34" s="37"/>
      <c r="K34" s="6"/>
    </row>
    <row r="35" customFormat="false" ht="19.5" hidden="false" customHeight="true" outlineLevel="0" collapsed="false">
      <c r="A35" s="6"/>
      <c r="B35" s="37"/>
      <c r="C35" s="38"/>
      <c r="D35" s="39"/>
      <c r="E35" s="40"/>
      <c r="F35" s="41"/>
      <c r="G35" s="41"/>
      <c r="H35" s="41"/>
      <c r="I35" s="38"/>
      <c r="J35" s="37"/>
      <c r="K35" s="6"/>
    </row>
    <row r="36" customFormat="false" ht="19.5" hidden="false" customHeight="true" outlineLevel="0" collapsed="false">
      <c r="A36" s="6"/>
      <c r="B36" s="37"/>
      <c r="C36" s="38"/>
      <c r="D36" s="39"/>
      <c r="E36" s="40"/>
      <c r="F36" s="41"/>
      <c r="G36" s="41"/>
      <c r="H36" s="41"/>
      <c r="I36" s="38"/>
      <c r="J36" s="37"/>
      <c r="K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dataValidations count="1">
    <dataValidation allowBlank="true" errorStyle="stop" operator="between" showDropDown="false" showErrorMessage="false" showInputMessage="false" sqref="F7:H36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392B"/>
    <pageSetUpPr fitToPage="true"/>
  </sheetPr>
  <dimension ref="A1:A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3" topLeftCell="D14" activePane="bottomRight" state="frozen"/>
      <selection pane="topLeft" activeCell="A1" activeCellId="0" sqref="A1"/>
      <selection pane="topRight" activeCell="D1" activeCellId="0" sqref="D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9" min="7" style="0" width="7"/>
    <col collapsed="false" customWidth="true" hidden="false" outlineLevel="0" max="11" min="10" style="0" width="8"/>
    <col collapsed="false" customWidth="true" hidden="false" outlineLevel="0" max="12" min="12" style="0" width="11"/>
    <col collapsed="false" customWidth="true" hidden="false" outlineLevel="0" max="14" min="13" style="0" width="10"/>
    <col collapsed="false" customWidth="true" hidden="false" outlineLevel="0" max="15" min="15" style="0" width="9"/>
    <col collapsed="false" customWidth="true" hidden="false" outlineLevel="0" max="16" min="16" style="0" width="10"/>
    <col collapsed="false" customWidth="true" hidden="false" outlineLevel="0" max="17" min="17" style="0" width="9"/>
    <col collapsed="false" customWidth="true" hidden="false" outlineLevel="0" max="18" min="18" style="0" width="12"/>
    <col collapsed="false" customWidth="true" hidden="false" outlineLevel="0" max="19" min="19" style="0" width="11"/>
    <col collapsed="false" customWidth="true" hidden="false" outlineLevel="0" max="21" min="20" style="0" width="9"/>
    <col collapsed="false" customWidth="true" hidden="false" outlineLevel="0" max="23" min="22" style="0" width="8"/>
    <col collapsed="false" customWidth="true" hidden="false" outlineLevel="0" max="24" min="24" style="0" width="9"/>
    <col collapsed="false" customWidth="true" hidden="false" outlineLevel="0" max="25" min="25" style="0" width="8"/>
    <col collapsed="false" customWidth="true" hidden="false" outlineLevel="0" max="26" min="26" style="0" width="10"/>
    <col collapsed="false" customWidth="true" hidden="false" outlineLevel="0" max="27" min="27" style="0" width="12"/>
    <col collapsed="false" customWidth="true" hidden="false" outlineLevel="0" max="31" min="28" style="0" width="9"/>
    <col collapsed="false" customWidth="true" hidden="false" outlineLevel="0" max="32" min="32" style="0" width="10"/>
    <col collapsed="false" customWidth="true" hidden="false" outlineLevel="0" max="33" min="33" style="0" width="13"/>
    <col collapsed="false" customWidth="true" hidden="false" outlineLevel="0" max="34" min="34" style="0" width="2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customFormat="false" ht="37.5" hidden="false" customHeight="true" outlineLevel="0" collapsed="false">
      <c r="A2" s="2"/>
      <c r="B2" s="3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customFormat="false" ht="21.75" hidden="false" customHeight="true" outlineLevel="0" collapsed="false">
      <c r="A3" s="2"/>
      <c r="B3" s="4" t="s">
        <v>85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customFormat="false" ht="7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customFormat="false" ht="25.5" hidden="false" customHeight="true" outlineLevel="0" collapsed="false">
      <c r="A6" s="6"/>
      <c r="B6" s="42" t="s">
        <v>86</v>
      </c>
      <c r="C6" s="42"/>
      <c r="D6" s="43" t="s">
        <v>87</v>
      </c>
      <c r="E6" s="43"/>
      <c r="F6" s="6"/>
      <c r="G6" s="42" t="s">
        <v>88</v>
      </c>
      <c r="H6" s="42"/>
      <c r="I6" s="44" t="str">
        <f aca="false">IF(설정!$C$7="예","5인 이상 (가산수당 적용)","5인 미만 (가산수당 없음)")</f>
        <v>5인 미만 (가산수당 없음)</v>
      </c>
      <c r="J6" s="44"/>
      <c r="K6" s="44"/>
      <c r="L6" s="44"/>
      <c r="M6" s="44"/>
      <c r="N6" s="44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45" t="s">
        <v>89</v>
      </c>
      <c r="AB6" s="45"/>
      <c r="AC6" s="45"/>
      <c r="AD6" s="45"/>
      <c r="AE6" s="45"/>
      <c r="AF6" s="45"/>
      <c r="AG6" s="6"/>
      <c r="AH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customFormat="false" ht="19.5" hidden="false" customHeight="true" outlineLevel="0" collapsed="false">
      <c r="A8" s="6"/>
      <c r="B8" s="46" t="s">
        <v>90</v>
      </c>
      <c r="C8" s="46"/>
      <c r="D8" s="46"/>
      <c r="E8" s="46"/>
      <c r="F8" s="46"/>
      <c r="G8" s="6"/>
      <c r="H8" s="47" t="s">
        <v>91</v>
      </c>
      <c r="I8" s="47"/>
      <c r="J8" s="47"/>
      <c r="K8" s="47"/>
      <c r="L8" s="47"/>
      <c r="M8" s="6"/>
      <c r="N8" s="48" t="s">
        <v>92</v>
      </c>
      <c r="O8" s="48"/>
      <c r="P8" s="48"/>
      <c r="Q8" s="48"/>
      <c r="R8" s="48"/>
      <c r="S8" s="6"/>
      <c r="T8" s="49" t="s">
        <v>93</v>
      </c>
      <c r="U8" s="49"/>
      <c r="V8" s="49"/>
      <c r="W8" s="49"/>
      <c r="X8" s="49"/>
      <c r="Y8" s="49"/>
      <c r="Z8" s="49"/>
      <c r="AA8" s="6"/>
      <c r="AB8" s="6"/>
      <c r="AC8" s="6"/>
      <c r="AD8" s="6"/>
      <c r="AE8" s="6"/>
      <c r="AF8" s="6"/>
      <c r="AG8" s="6"/>
      <c r="AH8" s="6"/>
    </row>
    <row r="9" customFormat="false" ht="18" hidden="false" customHeight="true" outlineLevel="0" collapsed="false">
      <c r="A9" s="6"/>
      <c r="B9" s="50" t="n">
        <f aca="false">R44</f>
        <v>3496640</v>
      </c>
      <c r="C9" s="50"/>
      <c r="D9" s="50"/>
      <c r="E9" s="50"/>
      <c r="F9" s="50"/>
      <c r="G9" s="6"/>
      <c r="H9" s="51" t="n">
        <f aca="false">Z44</f>
        <v>320300</v>
      </c>
      <c r="I9" s="51"/>
      <c r="J9" s="51"/>
      <c r="K9" s="51"/>
      <c r="L9" s="51"/>
      <c r="M9" s="6"/>
      <c r="N9" s="52" t="n">
        <f aca="false">AA44</f>
        <v>3176340</v>
      </c>
      <c r="O9" s="52"/>
      <c r="P9" s="52"/>
      <c r="Q9" s="52"/>
      <c r="R9" s="52"/>
      <c r="S9" s="6"/>
      <c r="T9" s="53" t="n">
        <f aca="false">AG44</f>
        <v>4165017</v>
      </c>
      <c r="U9" s="53"/>
      <c r="V9" s="53"/>
      <c r="W9" s="53"/>
      <c r="X9" s="53"/>
      <c r="Y9" s="53"/>
      <c r="Z9" s="53"/>
      <c r="AA9" s="6"/>
      <c r="AB9" s="6"/>
      <c r="AC9" s="6"/>
      <c r="AD9" s="6"/>
      <c r="AE9" s="6"/>
      <c r="AF9" s="6"/>
      <c r="AG9" s="6"/>
      <c r="AH9" s="6"/>
    </row>
    <row r="10" customFormat="false" ht="18" hidden="false" customHeight="true" outlineLevel="0" collapsed="false">
      <c r="A10" s="6"/>
      <c r="B10" s="50"/>
      <c r="C10" s="50"/>
      <c r="D10" s="50"/>
      <c r="E10" s="50"/>
      <c r="F10" s="50"/>
      <c r="G10" s="6"/>
      <c r="H10" s="51"/>
      <c r="I10" s="51"/>
      <c r="J10" s="51"/>
      <c r="K10" s="51"/>
      <c r="L10" s="51"/>
      <c r="M10" s="6"/>
      <c r="N10" s="52"/>
      <c r="O10" s="52"/>
      <c r="P10" s="52"/>
      <c r="Q10" s="52"/>
      <c r="R10" s="52"/>
      <c r="S10" s="6"/>
      <c r="T10" s="53"/>
      <c r="U10" s="53"/>
      <c r="V10" s="53"/>
      <c r="W10" s="53"/>
      <c r="X10" s="53"/>
      <c r="Y10" s="53"/>
      <c r="Z10" s="53"/>
      <c r="AA10" s="6"/>
      <c r="AB10" s="6"/>
      <c r="AC10" s="6"/>
      <c r="AD10" s="6"/>
      <c r="AE10" s="6"/>
      <c r="AF10" s="6"/>
      <c r="AG10" s="6"/>
      <c r="AH10" s="6"/>
    </row>
    <row r="11" customFormat="false" ht="12" hidden="false" customHeight="tru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customFormat="false" ht="19.5" hidden="false" customHeight="true" outlineLevel="0" collapsed="false">
      <c r="A12" s="6"/>
      <c r="B12" s="54"/>
      <c r="C12" s="54"/>
      <c r="D12" s="54" t="s">
        <v>94</v>
      </c>
      <c r="E12" s="54"/>
      <c r="F12" s="55" t="s">
        <v>95</v>
      </c>
      <c r="G12" s="55"/>
      <c r="H12" s="55"/>
      <c r="I12" s="55"/>
      <c r="J12" s="55"/>
      <c r="K12" s="55"/>
      <c r="L12" s="56" t="s">
        <v>96</v>
      </c>
      <c r="M12" s="56"/>
      <c r="N12" s="56"/>
      <c r="O12" s="56"/>
      <c r="P12" s="56"/>
      <c r="Q12" s="56"/>
      <c r="R12" s="56"/>
      <c r="S12" s="56"/>
      <c r="T12" s="57" t="s">
        <v>97</v>
      </c>
      <c r="U12" s="57"/>
      <c r="V12" s="57"/>
      <c r="W12" s="57"/>
      <c r="X12" s="57"/>
      <c r="Y12" s="57"/>
      <c r="Z12" s="57"/>
      <c r="AA12" s="57"/>
      <c r="AB12" s="58" t="s">
        <v>98</v>
      </c>
      <c r="AC12" s="58"/>
      <c r="AD12" s="58"/>
      <c r="AE12" s="58"/>
      <c r="AF12" s="58"/>
      <c r="AG12" s="58"/>
      <c r="AH12" s="6"/>
    </row>
    <row r="13" customFormat="false" ht="36" hidden="false" customHeight="true" outlineLevel="0" collapsed="false">
      <c r="A13" s="6"/>
      <c r="B13" s="59" t="s">
        <v>99</v>
      </c>
      <c r="C13" s="60" t="s">
        <v>71</v>
      </c>
      <c r="D13" s="59" t="s">
        <v>100</v>
      </c>
      <c r="E13" s="59" t="s">
        <v>73</v>
      </c>
      <c r="F13" s="60" t="s">
        <v>101</v>
      </c>
      <c r="G13" s="60" t="s">
        <v>102</v>
      </c>
      <c r="H13" s="60" t="s">
        <v>103</v>
      </c>
      <c r="I13" s="60" t="s">
        <v>104</v>
      </c>
      <c r="J13" s="60" t="s">
        <v>105</v>
      </c>
      <c r="K13" s="60" t="s">
        <v>106</v>
      </c>
      <c r="L13" s="59" t="s">
        <v>107</v>
      </c>
      <c r="M13" s="59" t="s">
        <v>28</v>
      </c>
      <c r="N13" s="59" t="s">
        <v>108</v>
      </c>
      <c r="O13" s="59" t="s">
        <v>109</v>
      </c>
      <c r="P13" s="59" t="s">
        <v>110</v>
      </c>
      <c r="Q13" s="59" t="s">
        <v>111</v>
      </c>
      <c r="R13" s="59" t="s">
        <v>112</v>
      </c>
      <c r="S13" s="59" t="s">
        <v>113</v>
      </c>
      <c r="T13" s="59" t="s">
        <v>30</v>
      </c>
      <c r="U13" s="59" t="s">
        <v>114</v>
      </c>
      <c r="V13" s="59" t="s">
        <v>115</v>
      </c>
      <c r="W13" s="59" t="s">
        <v>116</v>
      </c>
      <c r="X13" s="60" t="s">
        <v>11</v>
      </c>
      <c r="Y13" s="59" t="s">
        <v>117</v>
      </c>
      <c r="Z13" s="59" t="s">
        <v>118</v>
      </c>
      <c r="AA13" s="59" t="s">
        <v>119</v>
      </c>
      <c r="AB13" s="59" t="s">
        <v>30</v>
      </c>
      <c r="AC13" s="59" t="s">
        <v>120</v>
      </c>
      <c r="AD13" s="59" t="s">
        <v>116</v>
      </c>
      <c r="AE13" s="59" t="s">
        <v>121</v>
      </c>
      <c r="AF13" s="59" t="s">
        <v>122</v>
      </c>
      <c r="AG13" s="59" t="s">
        <v>123</v>
      </c>
      <c r="AH13" s="6"/>
    </row>
    <row r="14" customFormat="false" ht="19.5" hidden="false" customHeight="true" outlineLevel="0" collapsed="false">
      <c r="A14" s="6"/>
      <c r="B14" s="61" t="n">
        <f aca="false">IF($C14="","",1)</f>
        <v>1</v>
      </c>
      <c r="C14" s="37" t="s">
        <v>80</v>
      </c>
      <c r="D14" s="62" t="n">
        <f aca="false">IF($C14="","",IFERROR(INDEX(직원명단!$C$7:$C$36,MATCH($C14,직원명단!$B$7:$B$36,0)),"명단없음"))</f>
        <v>10320</v>
      </c>
      <c r="E14" s="63" t="n">
        <f aca="false">IF($C14="","",IFERROR(INDEX(직원명단!$D$7:$D$36,MATCH($C14,직원명단!$B$7:$B$36,0)),0))</f>
        <v>20</v>
      </c>
      <c r="F14" s="64" t="n">
        <v>86</v>
      </c>
      <c r="G14" s="64" t="n">
        <v>4</v>
      </c>
      <c r="H14" s="64" t="n">
        <v>0</v>
      </c>
      <c r="I14" s="64" t="n">
        <v>0</v>
      </c>
      <c r="J14" s="64" t="n">
        <v>0</v>
      </c>
      <c r="K14" s="64" t="n">
        <v>0</v>
      </c>
      <c r="L14" s="65" t="n">
        <f aca="false">IF($C14="","",ROUND(D14*F14,0))</f>
        <v>887520</v>
      </c>
      <c r="M14" s="65" t="n">
        <f aca="false">IF($C14="","",IF(E14&gt;=15,ROUND(MIN(E14,40)/40*8*D14*G14,0),0))</f>
        <v>165120</v>
      </c>
      <c r="N14" s="65" t="n">
        <f aca="false">IF($C14="","",ROUND(H14*D14*IF((설정!$C$7="예"),1.5,1),0))</f>
        <v>0</v>
      </c>
      <c r="O14" s="65" t="n">
        <f aca="false">IF($C14="","",ROUND(I14*D14*IF((설정!$C$7="예"),0.5,0),0))</f>
        <v>0</v>
      </c>
      <c r="P14" s="65" t="n">
        <f aca="false">IF($C14="","",ROUND(J14*D14*IF((설정!$C$7="예"),1.5,1)+K14*D14*IF((설정!$C$7="예"),2,1),0))</f>
        <v>0</v>
      </c>
      <c r="Q14" s="62" t="n">
        <f aca="false">IF($C14="","",IFERROR(N(INDEX(직원명단!$I$7:$I$36,MATCH($C14,직원명단!$B$7:$B$36,0))),0))</f>
        <v>0</v>
      </c>
      <c r="R14" s="66" t="n">
        <f aca="false">IF($C14="","",SUM(L14:Q14))</f>
        <v>1052640</v>
      </c>
      <c r="S14" s="65" t="n">
        <f aca="false">IF($C14="","",R14-MIN(Q14,설정!$C$18))</f>
        <v>1052640</v>
      </c>
      <c r="T14" s="65" t="n">
        <f aca="false">IF($C14="","",IF(IFERROR(INDEX(직원명단!$F$7:$F$36,MATCH($C14,직원명단!$B$7:$B$36,0)),"N")="Y",ROUNDDOWN(ROUNDDOWN(MIN(MAX(S14,설정!$C$11),설정!$C$12),-3)*설정!$C$9,-1),0))</f>
        <v>49970</v>
      </c>
      <c r="U14" s="65" t="n">
        <f aca="false">IF($C14="","",IF(IFERROR(INDEX(직원명단!$G$7:$G$36,MATCH($C14,직원명단!$B$7:$B$36,0)),"N")="Y",ROUNDDOWN(S14*설정!$C$13,-1),0))</f>
        <v>37840</v>
      </c>
      <c r="V14" s="65" t="n">
        <f aca="false">IF($C14="","",ROUNDDOWN(U14*설정!$C$14,-1))</f>
        <v>4970</v>
      </c>
      <c r="W14" s="65" t="n">
        <f aca="false">IF($C14="","",IF(IFERROR(INDEX(직원명단!$H$7:$H$36,MATCH($C14,직원명단!$B$7:$B$36,0)),"N")="Y",ROUNDDOWN(S14*설정!$C$15,-1),0))</f>
        <v>9470</v>
      </c>
      <c r="X14" s="67" t="n">
        <v>0</v>
      </c>
      <c r="Y14" s="65" t="n">
        <f aca="false">IF($C14="","",ROUNDDOWN(N(X14)*0.1,-1))</f>
        <v>0</v>
      </c>
      <c r="Z14" s="65" t="n">
        <f aca="false">IF($C14="","",T14+U14+V14+W14+N(X14)+Y14)</f>
        <v>102250</v>
      </c>
      <c r="AA14" s="68" t="n">
        <f aca="false">IF($C14="","",R14-Z14)</f>
        <v>950390</v>
      </c>
      <c r="AB14" s="65" t="n">
        <f aca="false">IF($C14="","",IF(IFERROR(INDEX(직원명단!$F$7:$F$36,MATCH($C14,직원명단!$B$7:$B$36,0)),"N")="Y",ROUNDDOWN(ROUNDDOWN(MIN(MAX(S14,설정!$C$11),설정!$C$12),-3)*설정!$C$10,-1),0))</f>
        <v>49970</v>
      </c>
      <c r="AC14" s="65" t="n">
        <f aca="false">IF($C14="","",U14+V14)</f>
        <v>42810</v>
      </c>
      <c r="AD14" s="65" t="n">
        <f aca="false">IF($C14="","",IF(IFERROR(INDEX(직원명단!$H$7:$H$36,MATCH($C14,직원명단!$B$7:$B$36,0)),"N")="Y",ROUNDDOWN(S14*설정!$C$16,-1),0))</f>
        <v>12100</v>
      </c>
      <c r="AE14" s="65" t="n">
        <f aca="false">IF($C14="","",ROUNDDOWN(S14*설정!$C$17,-1))</f>
        <v>15470</v>
      </c>
      <c r="AF14" s="65" t="n">
        <f aca="false">IF($C14="","",IF(E14&gt;=15,ROUND(R14/12,0),0))</f>
        <v>87720</v>
      </c>
      <c r="AG14" s="69" t="n">
        <f aca="false">IF($C14="","",R14+AB14+AC14+AD14+AE14+AF14)</f>
        <v>1260710</v>
      </c>
      <c r="AH14" s="6"/>
    </row>
    <row r="15" customFormat="false" ht="19.5" hidden="false" customHeight="true" outlineLevel="0" collapsed="false">
      <c r="A15" s="6"/>
      <c r="B15" s="70" t="n">
        <f aca="false">IF($C15="","",2)</f>
        <v>2</v>
      </c>
      <c r="C15" s="37" t="s">
        <v>83</v>
      </c>
      <c r="D15" s="71" t="n">
        <f aca="false">IF($C15="","",IFERROR(INDEX(직원명단!$C$7:$C$36,MATCH($C15,직원명단!$B$7:$B$36,0)),"명단없음"))</f>
        <v>11000</v>
      </c>
      <c r="E15" s="72" t="n">
        <f aca="false">IF($C15="","",IFERROR(INDEX(직원명단!$D$7:$D$36,MATCH($C15,직원명단!$B$7:$B$36,0)),0))</f>
        <v>40</v>
      </c>
      <c r="F15" s="64" t="n">
        <v>168</v>
      </c>
      <c r="G15" s="64" t="n">
        <v>4</v>
      </c>
      <c r="H15" s="64" t="n">
        <v>4</v>
      </c>
      <c r="I15" s="64" t="n">
        <v>0</v>
      </c>
      <c r="J15" s="64" t="n">
        <v>0</v>
      </c>
      <c r="K15" s="64" t="n">
        <v>0</v>
      </c>
      <c r="L15" s="73" t="n">
        <f aca="false">IF($C15="","",ROUND(D15*F15,0))</f>
        <v>1848000</v>
      </c>
      <c r="M15" s="73" t="n">
        <f aca="false">IF($C15="","",IF(E15&gt;=15,ROUND(MIN(E15,40)/40*8*D15*G15,0),0))</f>
        <v>352000</v>
      </c>
      <c r="N15" s="73" t="n">
        <f aca="false">IF($C15="","",ROUND(H15*D15*IF((설정!$C$7="예"),1.5,1),0))</f>
        <v>44000</v>
      </c>
      <c r="O15" s="73" t="n">
        <f aca="false">IF($C15="","",ROUND(I15*D15*IF((설정!$C$7="예"),0.5,0),0))</f>
        <v>0</v>
      </c>
      <c r="P15" s="73" t="n">
        <f aca="false">IF($C15="","",ROUND(J15*D15*IF((설정!$C$7="예"),1.5,1)+K15*D15*IF((설정!$C$7="예"),2,1),0))</f>
        <v>0</v>
      </c>
      <c r="Q15" s="71" t="n">
        <f aca="false">IF($C15="","",IFERROR(N(INDEX(직원명단!$I$7:$I$36,MATCH($C15,직원명단!$B$7:$B$36,0))),0))</f>
        <v>200000</v>
      </c>
      <c r="R15" s="74" t="n">
        <f aca="false">IF($C15="","",SUM(L15:Q15))</f>
        <v>2444000</v>
      </c>
      <c r="S15" s="73" t="n">
        <f aca="false">IF($C15="","",R15-MIN(Q15,설정!$C$18))</f>
        <v>2244000</v>
      </c>
      <c r="T15" s="73" t="n">
        <f aca="false">IF($C15="","",IF(IFERROR(INDEX(직원명단!$F$7:$F$36,MATCH($C15,직원명단!$B$7:$B$36,0)),"N")="Y",ROUNDDOWN(ROUNDDOWN(MIN(MAX(S15,설정!$C$11),설정!$C$12),-3)*설정!$C$9,-1),0))</f>
        <v>106590</v>
      </c>
      <c r="U15" s="73" t="n">
        <f aca="false">IF($C15="","",IF(IFERROR(INDEX(직원명단!$G$7:$G$36,MATCH($C15,직원명단!$B$7:$B$36,0)),"N")="Y",ROUNDDOWN(S15*설정!$C$13,-1),0))</f>
        <v>80670</v>
      </c>
      <c r="V15" s="73" t="n">
        <f aca="false">IF($C15="","",ROUNDDOWN(U15*설정!$C$14,-1))</f>
        <v>10600</v>
      </c>
      <c r="W15" s="73" t="n">
        <f aca="false">IF($C15="","",IF(IFERROR(INDEX(직원명단!$H$7:$H$36,MATCH($C15,직원명단!$B$7:$B$36,0)),"N")="Y",ROUNDDOWN(S15*설정!$C$15,-1),0))</f>
        <v>20190</v>
      </c>
      <c r="X15" s="67" t="n">
        <v>0</v>
      </c>
      <c r="Y15" s="73" t="n">
        <f aca="false">IF($C15="","",ROUNDDOWN(N(X15)*0.1,-1))</f>
        <v>0</v>
      </c>
      <c r="Z15" s="73" t="n">
        <f aca="false">IF($C15="","",T15+U15+V15+W15+N(X15)+Y15)</f>
        <v>218050</v>
      </c>
      <c r="AA15" s="75" t="n">
        <f aca="false">IF($C15="","",R15-Z15)</f>
        <v>2225950</v>
      </c>
      <c r="AB15" s="73" t="n">
        <f aca="false">IF($C15="","",IF(IFERROR(INDEX(직원명단!$F$7:$F$36,MATCH($C15,직원명단!$B$7:$B$36,0)),"N")="Y",ROUNDDOWN(ROUNDDOWN(MIN(MAX(S15,설정!$C$11),설정!$C$12),-3)*설정!$C$10,-1),0))</f>
        <v>106590</v>
      </c>
      <c r="AC15" s="73" t="n">
        <f aca="false">IF($C15="","",U15+V15)</f>
        <v>91270</v>
      </c>
      <c r="AD15" s="73" t="n">
        <f aca="false">IF($C15="","",IF(IFERROR(INDEX(직원명단!$H$7:$H$36,MATCH($C15,직원명단!$B$7:$B$36,0)),"N")="Y",ROUNDDOWN(S15*설정!$C$16,-1),0))</f>
        <v>25800</v>
      </c>
      <c r="AE15" s="73" t="n">
        <f aca="false">IF($C15="","",ROUNDDOWN(S15*설정!$C$17,-1))</f>
        <v>32980</v>
      </c>
      <c r="AF15" s="73" t="n">
        <f aca="false">IF($C15="","",IF(E15&gt;=15,ROUND(R15/12,0),0))</f>
        <v>203667</v>
      </c>
      <c r="AG15" s="76" t="n">
        <f aca="false">IF($C15="","",R15+AB15+AC15+AD15+AE15+AF15)</f>
        <v>2904307</v>
      </c>
      <c r="AH15" s="6"/>
    </row>
    <row r="16" customFormat="false" ht="19.5" hidden="false" customHeight="true" outlineLevel="0" collapsed="false">
      <c r="A16" s="6"/>
      <c r="B16" s="61" t="str">
        <f aca="false">IF($C16="","",3)</f>
        <v/>
      </c>
      <c r="C16" s="37"/>
      <c r="D16" s="62" t="str">
        <f aca="false">IF($C16="","",IFERROR(INDEX(직원명단!$C$7:$C$36,MATCH($C16,직원명단!$B$7:$B$36,0)),"명단없음"))</f>
        <v/>
      </c>
      <c r="E16" s="63" t="str">
        <f aca="false">IF($C16="","",IFERROR(INDEX(직원명단!$D$7:$D$36,MATCH($C16,직원명단!$B$7:$B$36,0)),0))</f>
        <v/>
      </c>
      <c r="F16" s="64"/>
      <c r="G16" s="64"/>
      <c r="H16" s="64"/>
      <c r="I16" s="64"/>
      <c r="J16" s="64"/>
      <c r="K16" s="64"/>
      <c r="L16" s="65" t="str">
        <f aca="false">IF($C16="","",ROUND(D16*F16,0))</f>
        <v/>
      </c>
      <c r="M16" s="65" t="str">
        <f aca="false">IF($C16="","",IF(E16&gt;=15,ROUND(MIN(E16,40)/40*8*D16*G16,0),0))</f>
        <v/>
      </c>
      <c r="N16" s="65" t="str">
        <f aca="false">IF($C16="","",ROUND(H16*D16*IF((설정!$C$7="예"),1.5,1),0))</f>
        <v/>
      </c>
      <c r="O16" s="65" t="str">
        <f aca="false">IF($C16="","",ROUND(I16*D16*IF((설정!$C$7="예"),0.5,0),0))</f>
        <v/>
      </c>
      <c r="P16" s="65" t="str">
        <f aca="false">IF($C16="","",ROUND(J16*D16*IF((설정!$C$7="예"),1.5,1)+K16*D16*IF((설정!$C$7="예"),2,1),0))</f>
        <v/>
      </c>
      <c r="Q16" s="62" t="str">
        <f aca="false">IF($C16="","",IFERROR(N(INDEX(직원명단!$I$7:$I$36,MATCH($C16,직원명단!$B$7:$B$36,0))),0))</f>
        <v/>
      </c>
      <c r="R16" s="66" t="str">
        <f aca="false">IF($C16="","",SUM(L16:Q16))</f>
        <v/>
      </c>
      <c r="S16" s="65" t="str">
        <f aca="false">IF($C16="","",R16-MIN(Q16,설정!$C$18))</f>
        <v/>
      </c>
      <c r="T16" s="65" t="str">
        <f aca="false">IF($C16="","",IF(IFERROR(INDEX(직원명단!$F$7:$F$36,MATCH($C16,직원명단!$B$7:$B$36,0)),"N")="Y",ROUNDDOWN(ROUNDDOWN(MIN(MAX(S16,설정!$C$11),설정!$C$12),-3)*설정!$C$9,-1),0))</f>
        <v/>
      </c>
      <c r="U16" s="65" t="str">
        <f aca="false">IF($C16="","",IF(IFERROR(INDEX(직원명단!$G$7:$G$36,MATCH($C16,직원명단!$B$7:$B$36,0)),"N")="Y",ROUNDDOWN(S16*설정!$C$13,-1),0))</f>
        <v/>
      </c>
      <c r="V16" s="65" t="str">
        <f aca="false">IF($C16="","",ROUNDDOWN(U16*설정!$C$14,-1))</f>
        <v/>
      </c>
      <c r="W16" s="65" t="str">
        <f aca="false">IF($C16="","",IF(IFERROR(INDEX(직원명단!$H$7:$H$36,MATCH($C16,직원명단!$B$7:$B$36,0)),"N")="Y",ROUNDDOWN(S16*설정!$C$15,-1),0))</f>
        <v/>
      </c>
      <c r="X16" s="67"/>
      <c r="Y16" s="65" t="str">
        <f aca="false">IF($C16="","",ROUNDDOWN(N(X16)*0.1,-1))</f>
        <v/>
      </c>
      <c r="Z16" s="65" t="str">
        <f aca="false">IF($C16="","",T16+U16+V16+W16+N(X16)+Y16)</f>
        <v/>
      </c>
      <c r="AA16" s="68" t="str">
        <f aca="false">IF($C16="","",R16-Z16)</f>
        <v/>
      </c>
      <c r="AB16" s="65" t="str">
        <f aca="false">IF($C16="","",IF(IFERROR(INDEX(직원명단!$F$7:$F$36,MATCH($C16,직원명단!$B$7:$B$36,0)),"N")="Y",ROUNDDOWN(ROUNDDOWN(MIN(MAX(S16,설정!$C$11),설정!$C$12),-3)*설정!$C$10,-1),0))</f>
        <v/>
      </c>
      <c r="AC16" s="65" t="str">
        <f aca="false">IF($C16="","",U16+V16)</f>
        <v/>
      </c>
      <c r="AD16" s="65" t="str">
        <f aca="false">IF($C16="","",IF(IFERROR(INDEX(직원명단!$H$7:$H$36,MATCH($C16,직원명단!$B$7:$B$36,0)),"N")="Y",ROUNDDOWN(S16*설정!$C$16,-1),0))</f>
        <v/>
      </c>
      <c r="AE16" s="65" t="str">
        <f aca="false">IF($C16="","",ROUNDDOWN(S16*설정!$C$17,-1))</f>
        <v/>
      </c>
      <c r="AF16" s="65" t="str">
        <f aca="false">IF($C16="","",IF(E16&gt;=15,ROUND(R16/12,0),0))</f>
        <v/>
      </c>
      <c r="AG16" s="69" t="str">
        <f aca="false">IF($C16="","",R16+AB16+AC16+AD16+AE16+AF16)</f>
        <v/>
      </c>
      <c r="AH16" s="6"/>
    </row>
    <row r="17" customFormat="false" ht="19.5" hidden="false" customHeight="true" outlineLevel="0" collapsed="false">
      <c r="A17" s="6"/>
      <c r="B17" s="70" t="str">
        <f aca="false">IF($C17="","",4)</f>
        <v/>
      </c>
      <c r="C17" s="37"/>
      <c r="D17" s="71" t="str">
        <f aca="false">IF($C17="","",IFERROR(INDEX(직원명단!$C$7:$C$36,MATCH($C17,직원명단!$B$7:$B$36,0)),"명단없음"))</f>
        <v/>
      </c>
      <c r="E17" s="72" t="str">
        <f aca="false">IF($C17="","",IFERROR(INDEX(직원명단!$D$7:$D$36,MATCH($C17,직원명단!$B$7:$B$36,0)),0))</f>
        <v/>
      </c>
      <c r="F17" s="64"/>
      <c r="G17" s="64"/>
      <c r="H17" s="64"/>
      <c r="I17" s="64"/>
      <c r="J17" s="64"/>
      <c r="K17" s="64"/>
      <c r="L17" s="73" t="str">
        <f aca="false">IF($C17="","",ROUND(D17*F17,0))</f>
        <v/>
      </c>
      <c r="M17" s="73" t="str">
        <f aca="false">IF($C17="","",IF(E17&gt;=15,ROUND(MIN(E17,40)/40*8*D17*G17,0),0))</f>
        <v/>
      </c>
      <c r="N17" s="73" t="str">
        <f aca="false">IF($C17="","",ROUND(H17*D17*IF((설정!$C$7="예"),1.5,1),0))</f>
        <v/>
      </c>
      <c r="O17" s="73" t="str">
        <f aca="false">IF($C17="","",ROUND(I17*D17*IF((설정!$C$7="예"),0.5,0),0))</f>
        <v/>
      </c>
      <c r="P17" s="73" t="str">
        <f aca="false">IF($C17="","",ROUND(J17*D17*IF((설정!$C$7="예"),1.5,1)+K17*D17*IF((설정!$C$7="예"),2,1),0))</f>
        <v/>
      </c>
      <c r="Q17" s="71" t="str">
        <f aca="false">IF($C17="","",IFERROR(N(INDEX(직원명단!$I$7:$I$36,MATCH($C17,직원명단!$B$7:$B$36,0))),0))</f>
        <v/>
      </c>
      <c r="R17" s="74" t="str">
        <f aca="false">IF($C17="","",SUM(L17:Q17))</f>
        <v/>
      </c>
      <c r="S17" s="73" t="str">
        <f aca="false">IF($C17="","",R17-MIN(Q17,설정!$C$18))</f>
        <v/>
      </c>
      <c r="T17" s="73" t="str">
        <f aca="false">IF($C17="","",IF(IFERROR(INDEX(직원명단!$F$7:$F$36,MATCH($C17,직원명단!$B$7:$B$36,0)),"N")="Y",ROUNDDOWN(ROUNDDOWN(MIN(MAX(S17,설정!$C$11),설정!$C$12),-3)*설정!$C$9,-1),0))</f>
        <v/>
      </c>
      <c r="U17" s="73" t="str">
        <f aca="false">IF($C17="","",IF(IFERROR(INDEX(직원명단!$G$7:$G$36,MATCH($C17,직원명단!$B$7:$B$36,0)),"N")="Y",ROUNDDOWN(S17*설정!$C$13,-1),0))</f>
        <v/>
      </c>
      <c r="V17" s="73" t="str">
        <f aca="false">IF($C17="","",ROUNDDOWN(U17*설정!$C$14,-1))</f>
        <v/>
      </c>
      <c r="W17" s="73" t="str">
        <f aca="false">IF($C17="","",IF(IFERROR(INDEX(직원명단!$H$7:$H$36,MATCH($C17,직원명단!$B$7:$B$36,0)),"N")="Y",ROUNDDOWN(S17*설정!$C$15,-1),0))</f>
        <v/>
      </c>
      <c r="X17" s="67"/>
      <c r="Y17" s="73" t="str">
        <f aca="false">IF($C17="","",ROUNDDOWN(N(X17)*0.1,-1))</f>
        <v/>
      </c>
      <c r="Z17" s="73" t="str">
        <f aca="false">IF($C17="","",T17+U17+V17+W17+N(X17)+Y17)</f>
        <v/>
      </c>
      <c r="AA17" s="75" t="str">
        <f aca="false">IF($C17="","",R17-Z17)</f>
        <v/>
      </c>
      <c r="AB17" s="73" t="str">
        <f aca="false">IF($C17="","",IF(IFERROR(INDEX(직원명단!$F$7:$F$36,MATCH($C17,직원명단!$B$7:$B$36,0)),"N")="Y",ROUNDDOWN(ROUNDDOWN(MIN(MAX(S17,설정!$C$11),설정!$C$12),-3)*설정!$C$10,-1),0))</f>
        <v/>
      </c>
      <c r="AC17" s="73" t="str">
        <f aca="false">IF($C17="","",U17+V17)</f>
        <v/>
      </c>
      <c r="AD17" s="73" t="str">
        <f aca="false">IF($C17="","",IF(IFERROR(INDEX(직원명단!$H$7:$H$36,MATCH($C17,직원명단!$B$7:$B$36,0)),"N")="Y",ROUNDDOWN(S17*설정!$C$16,-1),0))</f>
        <v/>
      </c>
      <c r="AE17" s="73" t="str">
        <f aca="false">IF($C17="","",ROUNDDOWN(S17*설정!$C$17,-1))</f>
        <v/>
      </c>
      <c r="AF17" s="73" t="str">
        <f aca="false">IF($C17="","",IF(E17&gt;=15,ROUND(R17/12,0),0))</f>
        <v/>
      </c>
      <c r="AG17" s="76" t="str">
        <f aca="false">IF($C17="","",R17+AB17+AC17+AD17+AE17+AF17)</f>
        <v/>
      </c>
      <c r="AH17" s="6"/>
    </row>
    <row r="18" customFormat="false" ht="19.5" hidden="false" customHeight="true" outlineLevel="0" collapsed="false">
      <c r="A18" s="6"/>
      <c r="B18" s="61" t="str">
        <f aca="false">IF($C18="","",5)</f>
        <v/>
      </c>
      <c r="C18" s="37"/>
      <c r="D18" s="62" t="str">
        <f aca="false">IF($C18="","",IFERROR(INDEX(직원명단!$C$7:$C$36,MATCH($C18,직원명단!$B$7:$B$36,0)),"명단없음"))</f>
        <v/>
      </c>
      <c r="E18" s="63" t="str">
        <f aca="false">IF($C18="","",IFERROR(INDEX(직원명단!$D$7:$D$36,MATCH($C18,직원명단!$B$7:$B$36,0)),0))</f>
        <v/>
      </c>
      <c r="F18" s="64"/>
      <c r="G18" s="64"/>
      <c r="H18" s="64"/>
      <c r="I18" s="64"/>
      <c r="J18" s="64"/>
      <c r="K18" s="64"/>
      <c r="L18" s="65" t="str">
        <f aca="false">IF($C18="","",ROUND(D18*F18,0))</f>
        <v/>
      </c>
      <c r="M18" s="65" t="str">
        <f aca="false">IF($C18="","",IF(E18&gt;=15,ROUND(MIN(E18,40)/40*8*D18*G18,0),0))</f>
        <v/>
      </c>
      <c r="N18" s="65" t="str">
        <f aca="false">IF($C18="","",ROUND(H18*D18*IF((설정!$C$7="예"),1.5,1),0))</f>
        <v/>
      </c>
      <c r="O18" s="65" t="str">
        <f aca="false">IF($C18="","",ROUND(I18*D18*IF((설정!$C$7="예"),0.5,0),0))</f>
        <v/>
      </c>
      <c r="P18" s="65" t="str">
        <f aca="false">IF($C18="","",ROUND(J18*D18*IF((설정!$C$7="예"),1.5,1)+K18*D18*IF((설정!$C$7="예"),2,1),0))</f>
        <v/>
      </c>
      <c r="Q18" s="62" t="str">
        <f aca="false">IF($C18="","",IFERROR(N(INDEX(직원명단!$I$7:$I$36,MATCH($C18,직원명단!$B$7:$B$36,0))),0))</f>
        <v/>
      </c>
      <c r="R18" s="66" t="str">
        <f aca="false">IF($C18="","",SUM(L18:Q18))</f>
        <v/>
      </c>
      <c r="S18" s="65" t="str">
        <f aca="false">IF($C18="","",R18-MIN(Q18,설정!$C$18))</f>
        <v/>
      </c>
      <c r="T18" s="65" t="str">
        <f aca="false">IF($C18="","",IF(IFERROR(INDEX(직원명단!$F$7:$F$36,MATCH($C18,직원명단!$B$7:$B$36,0)),"N")="Y",ROUNDDOWN(ROUNDDOWN(MIN(MAX(S18,설정!$C$11),설정!$C$12),-3)*설정!$C$9,-1),0))</f>
        <v/>
      </c>
      <c r="U18" s="65" t="str">
        <f aca="false">IF($C18="","",IF(IFERROR(INDEX(직원명단!$G$7:$G$36,MATCH($C18,직원명단!$B$7:$B$36,0)),"N")="Y",ROUNDDOWN(S18*설정!$C$13,-1),0))</f>
        <v/>
      </c>
      <c r="V18" s="65" t="str">
        <f aca="false">IF($C18="","",ROUNDDOWN(U18*설정!$C$14,-1))</f>
        <v/>
      </c>
      <c r="W18" s="65" t="str">
        <f aca="false">IF($C18="","",IF(IFERROR(INDEX(직원명단!$H$7:$H$36,MATCH($C18,직원명단!$B$7:$B$36,0)),"N")="Y",ROUNDDOWN(S18*설정!$C$15,-1),0))</f>
        <v/>
      </c>
      <c r="X18" s="67"/>
      <c r="Y18" s="65" t="str">
        <f aca="false">IF($C18="","",ROUNDDOWN(N(X18)*0.1,-1))</f>
        <v/>
      </c>
      <c r="Z18" s="65" t="str">
        <f aca="false">IF($C18="","",T18+U18+V18+W18+N(X18)+Y18)</f>
        <v/>
      </c>
      <c r="AA18" s="68" t="str">
        <f aca="false">IF($C18="","",R18-Z18)</f>
        <v/>
      </c>
      <c r="AB18" s="65" t="str">
        <f aca="false">IF($C18="","",IF(IFERROR(INDEX(직원명단!$F$7:$F$36,MATCH($C18,직원명단!$B$7:$B$36,0)),"N")="Y",ROUNDDOWN(ROUNDDOWN(MIN(MAX(S18,설정!$C$11),설정!$C$12),-3)*설정!$C$10,-1),0))</f>
        <v/>
      </c>
      <c r="AC18" s="65" t="str">
        <f aca="false">IF($C18="","",U18+V18)</f>
        <v/>
      </c>
      <c r="AD18" s="65" t="str">
        <f aca="false">IF($C18="","",IF(IFERROR(INDEX(직원명단!$H$7:$H$36,MATCH($C18,직원명단!$B$7:$B$36,0)),"N")="Y",ROUNDDOWN(S18*설정!$C$16,-1),0))</f>
        <v/>
      </c>
      <c r="AE18" s="65" t="str">
        <f aca="false">IF($C18="","",ROUNDDOWN(S18*설정!$C$17,-1))</f>
        <v/>
      </c>
      <c r="AF18" s="65" t="str">
        <f aca="false">IF($C18="","",IF(E18&gt;=15,ROUND(R18/12,0),0))</f>
        <v/>
      </c>
      <c r="AG18" s="69" t="str">
        <f aca="false">IF($C18="","",R18+AB18+AC18+AD18+AE18+AF18)</f>
        <v/>
      </c>
      <c r="AH18" s="6"/>
    </row>
    <row r="19" customFormat="false" ht="19.5" hidden="false" customHeight="true" outlineLevel="0" collapsed="false">
      <c r="A19" s="6"/>
      <c r="B19" s="70" t="str">
        <f aca="false">IF($C19="","",6)</f>
        <v/>
      </c>
      <c r="C19" s="37"/>
      <c r="D19" s="71" t="str">
        <f aca="false">IF($C19="","",IFERROR(INDEX(직원명단!$C$7:$C$36,MATCH($C19,직원명단!$B$7:$B$36,0)),"명단없음"))</f>
        <v/>
      </c>
      <c r="E19" s="72" t="str">
        <f aca="false">IF($C19="","",IFERROR(INDEX(직원명단!$D$7:$D$36,MATCH($C19,직원명단!$B$7:$B$36,0)),0))</f>
        <v/>
      </c>
      <c r="F19" s="64"/>
      <c r="G19" s="64"/>
      <c r="H19" s="64"/>
      <c r="I19" s="64"/>
      <c r="J19" s="64"/>
      <c r="K19" s="64"/>
      <c r="L19" s="73" t="str">
        <f aca="false">IF($C19="","",ROUND(D19*F19,0))</f>
        <v/>
      </c>
      <c r="M19" s="73" t="str">
        <f aca="false">IF($C19="","",IF(E19&gt;=15,ROUND(MIN(E19,40)/40*8*D19*G19,0),0))</f>
        <v/>
      </c>
      <c r="N19" s="73" t="str">
        <f aca="false">IF($C19="","",ROUND(H19*D19*IF((설정!$C$7="예"),1.5,1),0))</f>
        <v/>
      </c>
      <c r="O19" s="73" t="str">
        <f aca="false">IF($C19="","",ROUND(I19*D19*IF((설정!$C$7="예"),0.5,0),0))</f>
        <v/>
      </c>
      <c r="P19" s="73" t="str">
        <f aca="false">IF($C19="","",ROUND(J19*D19*IF((설정!$C$7="예"),1.5,1)+K19*D19*IF((설정!$C$7="예"),2,1),0))</f>
        <v/>
      </c>
      <c r="Q19" s="71" t="str">
        <f aca="false">IF($C19="","",IFERROR(N(INDEX(직원명단!$I$7:$I$36,MATCH($C19,직원명단!$B$7:$B$36,0))),0))</f>
        <v/>
      </c>
      <c r="R19" s="74" t="str">
        <f aca="false">IF($C19="","",SUM(L19:Q19))</f>
        <v/>
      </c>
      <c r="S19" s="73" t="str">
        <f aca="false">IF($C19="","",R19-MIN(Q19,설정!$C$18))</f>
        <v/>
      </c>
      <c r="T19" s="73" t="str">
        <f aca="false">IF($C19="","",IF(IFERROR(INDEX(직원명단!$F$7:$F$36,MATCH($C19,직원명단!$B$7:$B$36,0)),"N")="Y",ROUNDDOWN(ROUNDDOWN(MIN(MAX(S19,설정!$C$11),설정!$C$12),-3)*설정!$C$9,-1),0))</f>
        <v/>
      </c>
      <c r="U19" s="73" t="str">
        <f aca="false">IF($C19="","",IF(IFERROR(INDEX(직원명단!$G$7:$G$36,MATCH($C19,직원명단!$B$7:$B$36,0)),"N")="Y",ROUNDDOWN(S19*설정!$C$13,-1),0))</f>
        <v/>
      </c>
      <c r="V19" s="73" t="str">
        <f aca="false">IF($C19="","",ROUNDDOWN(U19*설정!$C$14,-1))</f>
        <v/>
      </c>
      <c r="W19" s="73" t="str">
        <f aca="false">IF($C19="","",IF(IFERROR(INDEX(직원명단!$H$7:$H$36,MATCH($C19,직원명단!$B$7:$B$36,0)),"N")="Y",ROUNDDOWN(S19*설정!$C$15,-1),0))</f>
        <v/>
      </c>
      <c r="X19" s="67"/>
      <c r="Y19" s="73" t="str">
        <f aca="false">IF($C19="","",ROUNDDOWN(N(X19)*0.1,-1))</f>
        <v/>
      </c>
      <c r="Z19" s="73" t="str">
        <f aca="false">IF($C19="","",T19+U19+V19+W19+N(X19)+Y19)</f>
        <v/>
      </c>
      <c r="AA19" s="75" t="str">
        <f aca="false">IF($C19="","",R19-Z19)</f>
        <v/>
      </c>
      <c r="AB19" s="73" t="str">
        <f aca="false">IF($C19="","",IF(IFERROR(INDEX(직원명단!$F$7:$F$36,MATCH($C19,직원명단!$B$7:$B$36,0)),"N")="Y",ROUNDDOWN(ROUNDDOWN(MIN(MAX(S19,설정!$C$11),설정!$C$12),-3)*설정!$C$10,-1),0))</f>
        <v/>
      </c>
      <c r="AC19" s="73" t="str">
        <f aca="false">IF($C19="","",U19+V19)</f>
        <v/>
      </c>
      <c r="AD19" s="73" t="str">
        <f aca="false">IF($C19="","",IF(IFERROR(INDEX(직원명단!$H$7:$H$36,MATCH($C19,직원명단!$B$7:$B$36,0)),"N")="Y",ROUNDDOWN(S19*설정!$C$16,-1),0))</f>
        <v/>
      </c>
      <c r="AE19" s="73" t="str">
        <f aca="false">IF($C19="","",ROUNDDOWN(S19*설정!$C$17,-1))</f>
        <v/>
      </c>
      <c r="AF19" s="73" t="str">
        <f aca="false">IF($C19="","",IF(E19&gt;=15,ROUND(R19/12,0),0))</f>
        <v/>
      </c>
      <c r="AG19" s="76" t="str">
        <f aca="false">IF($C19="","",R19+AB19+AC19+AD19+AE19+AF19)</f>
        <v/>
      </c>
      <c r="AH19" s="6"/>
    </row>
    <row r="20" customFormat="false" ht="19.5" hidden="false" customHeight="true" outlineLevel="0" collapsed="false">
      <c r="A20" s="6"/>
      <c r="B20" s="61" t="str">
        <f aca="false">IF($C20="","",7)</f>
        <v/>
      </c>
      <c r="C20" s="37"/>
      <c r="D20" s="62" t="str">
        <f aca="false">IF($C20="","",IFERROR(INDEX(직원명단!$C$7:$C$36,MATCH($C20,직원명단!$B$7:$B$36,0)),"명단없음"))</f>
        <v/>
      </c>
      <c r="E20" s="63" t="str">
        <f aca="false">IF($C20="","",IFERROR(INDEX(직원명단!$D$7:$D$36,MATCH($C20,직원명단!$B$7:$B$36,0)),0))</f>
        <v/>
      </c>
      <c r="F20" s="64"/>
      <c r="G20" s="64"/>
      <c r="H20" s="64"/>
      <c r="I20" s="64"/>
      <c r="J20" s="64"/>
      <c r="K20" s="64"/>
      <c r="L20" s="65" t="str">
        <f aca="false">IF($C20="","",ROUND(D20*F20,0))</f>
        <v/>
      </c>
      <c r="M20" s="65" t="str">
        <f aca="false">IF($C20="","",IF(E20&gt;=15,ROUND(MIN(E20,40)/40*8*D20*G20,0),0))</f>
        <v/>
      </c>
      <c r="N20" s="65" t="str">
        <f aca="false">IF($C20="","",ROUND(H20*D20*IF((설정!$C$7="예"),1.5,1),0))</f>
        <v/>
      </c>
      <c r="O20" s="65" t="str">
        <f aca="false">IF($C20="","",ROUND(I20*D20*IF((설정!$C$7="예"),0.5,0),0))</f>
        <v/>
      </c>
      <c r="P20" s="65" t="str">
        <f aca="false">IF($C20="","",ROUND(J20*D20*IF((설정!$C$7="예"),1.5,1)+K20*D20*IF((설정!$C$7="예"),2,1),0))</f>
        <v/>
      </c>
      <c r="Q20" s="62" t="str">
        <f aca="false">IF($C20="","",IFERROR(N(INDEX(직원명단!$I$7:$I$36,MATCH($C20,직원명단!$B$7:$B$36,0))),0))</f>
        <v/>
      </c>
      <c r="R20" s="66" t="str">
        <f aca="false">IF($C20="","",SUM(L20:Q20))</f>
        <v/>
      </c>
      <c r="S20" s="65" t="str">
        <f aca="false">IF($C20="","",R20-MIN(Q20,설정!$C$18))</f>
        <v/>
      </c>
      <c r="T20" s="65" t="str">
        <f aca="false">IF($C20="","",IF(IFERROR(INDEX(직원명단!$F$7:$F$36,MATCH($C20,직원명단!$B$7:$B$36,0)),"N")="Y",ROUNDDOWN(ROUNDDOWN(MIN(MAX(S20,설정!$C$11),설정!$C$12),-3)*설정!$C$9,-1),0))</f>
        <v/>
      </c>
      <c r="U20" s="65" t="str">
        <f aca="false">IF($C20="","",IF(IFERROR(INDEX(직원명단!$G$7:$G$36,MATCH($C20,직원명단!$B$7:$B$36,0)),"N")="Y",ROUNDDOWN(S20*설정!$C$13,-1),0))</f>
        <v/>
      </c>
      <c r="V20" s="65" t="str">
        <f aca="false">IF($C20="","",ROUNDDOWN(U20*설정!$C$14,-1))</f>
        <v/>
      </c>
      <c r="W20" s="65" t="str">
        <f aca="false">IF($C20="","",IF(IFERROR(INDEX(직원명단!$H$7:$H$36,MATCH($C20,직원명단!$B$7:$B$36,0)),"N")="Y",ROUNDDOWN(S20*설정!$C$15,-1),0))</f>
        <v/>
      </c>
      <c r="X20" s="67"/>
      <c r="Y20" s="65" t="str">
        <f aca="false">IF($C20="","",ROUNDDOWN(N(X20)*0.1,-1))</f>
        <v/>
      </c>
      <c r="Z20" s="65" t="str">
        <f aca="false">IF($C20="","",T20+U20+V20+W20+N(X20)+Y20)</f>
        <v/>
      </c>
      <c r="AA20" s="68" t="str">
        <f aca="false">IF($C20="","",R20-Z20)</f>
        <v/>
      </c>
      <c r="AB20" s="65" t="str">
        <f aca="false">IF($C20="","",IF(IFERROR(INDEX(직원명단!$F$7:$F$36,MATCH($C20,직원명단!$B$7:$B$36,0)),"N")="Y",ROUNDDOWN(ROUNDDOWN(MIN(MAX(S20,설정!$C$11),설정!$C$12),-3)*설정!$C$10,-1),0))</f>
        <v/>
      </c>
      <c r="AC20" s="65" t="str">
        <f aca="false">IF($C20="","",U20+V20)</f>
        <v/>
      </c>
      <c r="AD20" s="65" t="str">
        <f aca="false">IF($C20="","",IF(IFERROR(INDEX(직원명단!$H$7:$H$36,MATCH($C20,직원명단!$B$7:$B$36,0)),"N")="Y",ROUNDDOWN(S20*설정!$C$16,-1),0))</f>
        <v/>
      </c>
      <c r="AE20" s="65" t="str">
        <f aca="false">IF($C20="","",ROUNDDOWN(S20*설정!$C$17,-1))</f>
        <v/>
      </c>
      <c r="AF20" s="65" t="str">
        <f aca="false">IF($C20="","",IF(E20&gt;=15,ROUND(R20/12,0),0))</f>
        <v/>
      </c>
      <c r="AG20" s="69" t="str">
        <f aca="false">IF($C20="","",R20+AB20+AC20+AD20+AE20+AF20)</f>
        <v/>
      </c>
      <c r="AH20" s="6"/>
    </row>
    <row r="21" customFormat="false" ht="19.5" hidden="false" customHeight="true" outlineLevel="0" collapsed="false">
      <c r="A21" s="6"/>
      <c r="B21" s="70" t="str">
        <f aca="false">IF($C21="","",8)</f>
        <v/>
      </c>
      <c r="C21" s="37"/>
      <c r="D21" s="71" t="str">
        <f aca="false">IF($C21="","",IFERROR(INDEX(직원명단!$C$7:$C$36,MATCH($C21,직원명단!$B$7:$B$36,0)),"명단없음"))</f>
        <v/>
      </c>
      <c r="E21" s="72" t="str">
        <f aca="false">IF($C21="","",IFERROR(INDEX(직원명단!$D$7:$D$36,MATCH($C21,직원명단!$B$7:$B$36,0)),0))</f>
        <v/>
      </c>
      <c r="F21" s="64"/>
      <c r="G21" s="64"/>
      <c r="H21" s="64"/>
      <c r="I21" s="64"/>
      <c r="J21" s="64"/>
      <c r="K21" s="64"/>
      <c r="L21" s="73" t="str">
        <f aca="false">IF($C21="","",ROUND(D21*F21,0))</f>
        <v/>
      </c>
      <c r="M21" s="73" t="str">
        <f aca="false">IF($C21="","",IF(E21&gt;=15,ROUND(MIN(E21,40)/40*8*D21*G21,0),0))</f>
        <v/>
      </c>
      <c r="N21" s="73" t="str">
        <f aca="false">IF($C21="","",ROUND(H21*D21*IF((설정!$C$7="예"),1.5,1),0))</f>
        <v/>
      </c>
      <c r="O21" s="73" t="str">
        <f aca="false">IF($C21="","",ROUND(I21*D21*IF((설정!$C$7="예"),0.5,0),0))</f>
        <v/>
      </c>
      <c r="P21" s="73" t="str">
        <f aca="false">IF($C21="","",ROUND(J21*D21*IF((설정!$C$7="예"),1.5,1)+K21*D21*IF((설정!$C$7="예"),2,1),0))</f>
        <v/>
      </c>
      <c r="Q21" s="71" t="str">
        <f aca="false">IF($C21="","",IFERROR(N(INDEX(직원명단!$I$7:$I$36,MATCH($C21,직원명단!$B$7:$B$36,0))),0))</f>
        <v/>
      </c>
      <c r="R21" s="74" t="str">
        <f aca="false">IF($C21="","",SUM(L21:Q21))</f>
        <v/>
      </c>
      <c r="S21" s="73" t="str">
        <f aca="false">IF($C21="","",R21-MIN(Q21,설정!$C$18))</f>
        <v/>
      </c>
      <c r="T21" s="73" t="str">
        <f aca="false">IF($C21="","",IF(IFERROR(INDEX(직원명단!$F$7:$F$36,MATCH($C21,직원명단!$B$7:$B$36,0)),"N")="Y",ROUNDDOWN(ROUNDDOWN(MIN(MAX(S21,설정!$C$11),설정!$C$12),-3)*설정!$C$9,-1),0))</f>
        <v/>
      </c>
      <c r="U21" s="73" t="str">
        <f aca="false">IF($C21="","",IF(IFERROR(INDEX(직원명단!$G$7:$G$36,MATCH($C21,직원명단!$B$7:$B$36,0)),"N")="Y",ROUNDDOWN(S21*설정!$C$13,-1),0))</f>
        <v/>
      </c>
      <c r="V21" s="73" t="str">
        <f aca="false">IF($C21="","",ROUNDDOWN(U21*설정!$C$14,-1))</f>
        <v/>
      </c>
      <c r="W21" s="73" t="str">
        <f aca="false">IF($C21="","",IF(IFERROR(INDEX(직원명단!$H$7:$H$36,MATCH($C21,직원명단!$B$7:$B$36,0)),"N")="Y",ROUNDDOWN(S21*설정!$C$15,-1),0))</f>
        <v/>
      </c>
      <c r="X21" s="67"/>
      <c r="Y21" s="73" t="str">
        <f aca="false">IF($C21="","",ROUNDDOWN(N(X21)*0.1,-1))</f>
        <v/>
      </c>
      <c r="Z21" s="73" t="str">
        <f aca="false">IF($C21="","",T21+U21+V21+W21+N(X21)+Y21)</f>
        <v/>
      </c>
      <c r="AA21" s="75" t="str">
        <f aca="false">IF($C21="","",R21-Z21)</f>
        <v/>
      </c>
      <c r="AB21" s="73" t="str">
        <f aca="false">IF($C21="","",IF(IFERROR(INDEX(직원명단!$F$7:$F$36,MATCH($C21,직원명단!$B$7:$B$36,0)),"N")="Y",ROUNDDOWN(ROUNDDOWN(MIN(MAX(S21,설정!$C$11),설정!$C$12),-3)*설정!$C$10,-1),0))</f>
        <v/>
      </c>
      <c r="AC21" s="73" t="str">
        <f aca="false">IF($C21="","",U21+V21)</f>
        <v/>
      </c>
      <c r="AD21" s="73" t="str">
        <f aca="false">IF($C21="","",IF(IFERROR(INDEX(직원명단!$H$7:$H$36,MATCH($C21,직원명단!$B$7:$B$36,0)),"N")="Y",ROUNDDOWN(S21*설정!$C$16,-1),0))</f>
        <v/>
      </c>
      <c r="AE21" s="73" t="str">
        <f aca="false">IF($C21="","",ROUNDDOWN(S21*설정!$C$17,-1))</f>
        <v/>
      </c>
      <c r="AF21" s="73" t="str">
        <f aca="false">IF($C21="","",IF(E21&gt;=15,ROUND(R21/12,0),0))</f>
        <v/>
      </c>
      <c r="AG21" s="76" t="str">
        <f aca="false">IF($C21="","",R21+AB21+AC21+AD21+AE21+AF21)</f>
        <v/>
      </c>
      <c r="AH21" s="6"/>
    </row>
    <row r="22" customFormat="false" ht="19.5" hidden="false" customHeight="true" outlineLevel="0" collapsed="false">
      <c r="A22" s="6"/>
      <c r="B22" s="61" t="str">
        <f aca="false">IF($C22="","",9)</f>
        <v/>
      </c>
      <c r="C22" s="37"/>
      <c r="D22" s="62" t="str">
        <f aca="false">IF($C22="","",IFERROR(INDEX(직원명단!$C$7:$C$36,MATCH($C22,직원명단!$B$7:$B$36,0)),"명단없음"))</f>
        <v/>
      </c>
      <c r="E22" s="63" t="str">
        <f aca="false">IF($C22="","",IFERROR(INDEX(직원명단!$D$7:$D$36,MATCH($C22,직원명단!$B$7:$B$36,0)),0))</f>
        <v/>
      </c>
      <c r="F22" s="64"/>
      <c r="G22" s="64"/>
      <c r="H22" s="64"/>
      <c r="I22" s="64"/>
      <c r="J22" s="64"/>
      <c r="K22" s="64"/>
      <c r="L22" s="65" t="str">
        <f aca="false">IF($C22="","",ROUND(D22*F22,0))</f>
        <v/>
      </c>
      <c r="M22" s="65" t="str">
        <f aca="false">IF($C22="","",IF(E22&gt;=15,ROUND(MIN(E22,40)/40*8*D22*G22,0),0))</f>
        <v/>
      </c>
      <c r="N22" s="65" t="str">
        <f aca="false">IF($C22="","",ROUND(H22*D22*IF((설정!$C$7="예"),1.5,1),0))</f>
        <v/>
      </c>
      <c r="O22" s="65" t="str">
        <f aca="false">IF($C22="","",ROUND(I22*D22*IF((설정!$C$7="예"),0.5,0),0))</f>
        <v/>
      </c>
      <c r="P22" s="65" t="str">
        <f aca="false">IF($C22="","",ROUND(J22*D22*IF((설정!$C$7="예"),1.5,1)+K22*D22*IF((설정!$C$7="예"),2,1),0))</f>
        <v/>
      </c>
      <c r="Q22" s="62" t="str">
        <f aca="false">IF($C22="","",IFERROR(N(INDEX(직원명단!$I$7:$I$36,MATCH($C22,직원명단!$B$7:$B$36,0))),0))</f>
        <v/>
      </c>
      <c r="R22" s="66" t="str">
        <f aca="false">IF($C22="","",SUM(L22:Q22))</f>
        <v/>
      </c>
      <c r="S22" s="65" t="str">
        <f aca="false">IF($C22="","",R22-MIN(Q22,설정!$C$18))</f>
        <v/>
      </c>
      <c r="T22" s="65" t="str">
        <f aca="false">IF($C22="","",IF(IFERROR(INDEX(직원명단!$F$7:$F$36,MATCH($C22,직원명단!$B$7:$B$36,0)),"N")="Y",ROUNDDOWN(ROUNDDOWN(MIN(MAX(S22,설정!$C$11),설정!$C$12),-3)*설정!$C$9,-1),0))</f>
        <v/>
      </c>
      <c r="U22" s="65" t="str">
        <f aca="false">IF($C22="","",IF(IFERROR(INDEX(직원명단!$G$7:$G$36,MATCH($C22,직원명단!$B$7:$B$36,0)),"N")="Y",ROUNDDOWN(S22*설정!$C$13,-1),0))</f>
        <v/>
      </c>
      <c r="V22" s="65" t="str">
        <f aca="false">IF($C22="","",ROUNDDOWN(U22*설정!$C$14,-1))</f>
        <v/>
      </c>
      <c r="W22" s="65" t="str">
        <f aca="false">IF($C22="","",IF(IFERROR(INDEX(직원명단!$H$7:$H$36,MATCH($C22,직원명단!$B$7:$B$36,0)),"N")="Y",ROUNDDOWN(S22*설정!$C$15,-1),0))</f>
        <v/>
      </c>
      <c r="X22" s="67"/>
      <c r="Y22" s="65" t="str">
        <f aca="false">IF($C22="","",ROUNDDOWN(N(X22)*0.1,-1))</f>
        <v/>
      </c>
      <c r="Z22" s="65" t="str">
        <f aca="false">IF($C22="","",T22+U22+V22+W22+N(X22)+Y22)</f>
        <v/>
      </c>
      <c r="AA22" s="68" t="str">
        <f aca="false">IF($C22="","",R22-Z22)</f>
        <v/>
      </c>
      <c r="AB22" s="65" t="str">
        <f aca="false">IF($C22="","",IF(IFERROR(INDEX(직원명단!$F$7:$F$36,MATCH($C22,직원명단!$B$7:$B$36,0)),"N")="Y",ROUNDDOWN(ROUNDDOWN(MIN(MAX(S22,설정!$C$11),설정!$C$12),-3)*설정!$C$10,-1),0))</f>
        <v/>
      </c>
      <c r="AC22" s="65" t="str">
        <f aca="false">IF($C22="","",U22+V22)</f>
        <v/>
      </c>
      <c r="AD22" s="65" t="str">
        <f aca="false">IF($C22="","",IF(IFERROR(INDEX(직원명단!$H$7:$H$36,MATCH($C22,직원명단!$B$7:$B$36,0)),"N")="Y",ROUNDDOWN(S22*설정!$C$16,-1),0))</f>
        <v/>
      </c>
      <c r="AE22" s="65" t="str">
        <f aca="false">IF($C22="","",ROUNDDOWN(S22*설정!$C$17,-1))</f>
        <v/>
      </c>
      <c r="AF22" s="65" t="str">
        <f aca="false">IF($C22="","",IF(E22&gt;=15,ROUND(R22/12,0),0))</f>
        <v/>
      </c>
      <c r="AG22" s="69" t="str">
        <f aca="false">IF($C22="","",R22+AB22+AC22+AD22+AE22+AF22)</f>
        <v/>
      </c>
      <c r="AH22" s="6"/>
    </row>
    <row r="23" customFormat="false" ht="19.5" hidden="false" customHeight="true" outlineLevel="0" collapsed="false">
      <c r="A23" s="6"/>
      <c r="B23" s="70" t="str">
        <f aca="false">IF($C23="","",10)</f>
        <v/>
      </c>
      <c r="C23" s="37"/>
      <c r="D23" s="71" t="str">
        <f aca="false">IF($C23="","",IFERROR(INDEX(직원명단!$C$7:$C$36,MATCH($C23,직원명단!$B$7:$B$36,0)),"명단없음"))</f>
        <v/>
      </c>
      <c r="E23" s="72" t="str">
        <f aca="false">IF($C23="","",IFERROR(INDEX(직원명단!$D$7:$D$36,MATCH($C23,직원명단!$B$7:$B$36,0)),0))</f>
        <v/>
      </c>
      <c r="F23" s="64"/>
      <c r="G23" s="64"/>
      <c r="H23" s="64"/>
      <c r="I23" s="64"/>
      <c r="J23" s="64"/>
      <c r="K23" s="64"/>
      <c r="L23" s="73" t="str">
        <f aca="false">IF($C23="","",ROUND(D23*F23,0))</f>
        <v/>
      </c>
      <c r="M23" s="73" t="str">
        <f aca="false">IF($C23="","",IF(E23&gt;=15,ROUND(MIN(E23,40)/40*8*D23*G23,0),0))</f>
        <v/>
      </c>
      <c r="N23" s="73" t="str">
        <f aca="false">IF($C23="","",ROUND(H23*D23*IF((설정!$C$7="예"),1.5,1),0))</f>
        <v/>
      </c>
      <c r="O23" s="73" t="str">
        <f aca="false">IF($C23="","",ROUND(I23*D23*IF((설정!$C$7="예"),0.5,0),0))</f>
        <v/>
      </c>
      <c r="P23" s="73" t="str">
        <f aca="false">IF($C23="","",ROUND(J23*D23*IF((설정!$C$7="예"),1.5,1)+K23*D23*IF((설정!$C$7="예"),2,1),0))</f>
        <v/>
      </c>
      <c r="Q23" s="71" t="str">
        <f aca="false">IF($C23="","",IFERROR(N(INDEX(직원명단!$I$7:$I$36,MATCH($C23,직원명단!$B$7:$B$36,0))),0))</f>
        <v/>
      </c>
      <c r="R23" s="74" t="str">
        <f aca="false">IF($C23="","",SUM(L23:Q23))</f>
        <v/>
      </c>
      <c r="S23" s="73" t="str">
        <f aca="false">IF($C23="","",R23-MIN(Q23,설정!$C$18))</f>
        <v/>
      </c>
      <c r="T23" s="73" t="str">
        <f aca="false">IF($C23="","",IF(IFERROR(INDEX(직원명단!$F$7:$F$36,MATCH($C23,직원명단!$B$7:$B$36,0)),"N")="Y",ROUNDDOWN(ROUNDDOWN(MIN(MAX(S23,설정!$C$11),설정!$C$12),-3)*설정!$C$9,-1),0))</f>
        <v/>
      </c>
      <c r="U23" s="73" t="str">
        <f aca="false">IF($C23="","",IF(IFERROR(INDEX(직원명단!$G$7:$G$36,MATCH($C23,직원명단!$B$7:$B$36,0)),"N")="Y",ROUNDDOWN(S23*설정!$C$13,-1),0))</f>
        <v/>
      </c>
      <c r="V23" s="73" t="str">
        <f aca="false">IF($C23="","",ROUNDDOWN(U23*설정!$C$14,-1))</f>
        <v/>
      </c>
      <c r="W23" s="73" t="str">
        <f aca="false">IF($C23="","",IF(IFERROR(INDEX(직원명단!$H$7:$H$36,MATCH($C23,직원명단!$B$7:$B$36,0)),"N")="Y",ROUNDDOWN(S23*설정!$C$15,-1),0))</f>
        <v/>
      </c>
      <c r="X23" s="67"/>
      <c r="Y23" s="73" t="str">
        <f aca="false">IF($C23="","",ROUNDDOWN(N(X23)*0.1,-1))</f>
        <v/>
      </c>
      <c r="Z23" s="73" t="str">
        <f aca="false">IF($C23="","",T23+U23+V23+W23+N(X23)+Y23)</f>
        <v/>
      </c>
      <c r="AA23" s="75" t="str">
        <f aca="false">IF($C23="","",R23-Z23)</f>
        <v/>
      </c>
      <c r="AB23" s="73" t="str">
        <f aca="false">IF($C23="","",IF(IFERROR(INDEX(직원명단!$F$7:$F$36,MATCH($C23,직원명단!$B$7:$B$36,0)),"N")="Y",ROUNDDOWN(ROUNDDOWN(MIN(MAX(S23,설정!$C$11),설정!$C$12),-3)*설정!$C$10,-1),0))</f>
        <v/>
      </c>
      <c r="AC23" s="73" t="str">
        <f aca="false">IF($C23="","",U23+V23)</f>
        <v/>
      </c>
      <c r="AD23" s="73" t="str">
        <f aca="false">IF($C23="","",IF(IFERROR(INDEX(직원명단!$H$7:$H$36,MATCH($C23,직원명단!$B$7:$B$36,0)),"N")="Y",ROUNDDOWN(S23*설정!$C$16,-1),0))</f>
        <v/>
      </c>
      <c r="AE23" s="73" t="str">
        <f aca="false">IF($C23="","",ROUNDDOWN(S23*설정!$C$17,-1))</f>
        <v/>
      </c>
      <c r="AF23" s="73" t="str">
        <f aca="false">IF($C23="","",IF(E23&gt;=15,ROUND(R23/12,0),0))</f>
        <v/>
      </c>
      <c r="AG23" s="76" t="str">
        <f aca="false">IF($C23="","",R23+AB23+AC23+AD23+AE23+AF23)</f>
        <v/>
      </c>
      <c r="AH23" s="6"/>
    </row>
    <row r="24" customFormat="false" ht="19.5" hidden="false" customHeight="true" outlineLevel="0" collapsed="false">
      <c r="A24" s="6"/>
      <c r="B24" s="61" t="str">
        <f aca="false">IF($C24="","",11)</f>
        <v/>
      </c>
      <c r="C24" s="37"/>
      <c r="D24" s="62" t="str">
        <f aca="false">IF($C24="","",IFERROR(INDEX(직원명단!$C$7:$C$36,MATCH($C24,직원명단!$B$7:$B$36,0)),"명단없음"))</f>
        <v/>
      </c>
      <c r="E24" s="63" t="str">
        <f aca="false">IF($C24="","",IFERROR(INDEX(직원명단!$D$7:$D$36,MATCH($C24,직원명단!$B$7:$B$36,0)),0))</f>
        <v/>
      </c>
      <c r="F24" s="64"/>
      <c r="G24" s="64"/>
      <c r="H24" s="64"/>
      <c r="I24" s="64"/>
      <c r="J24" s="64"/>
      <c r="K24" s="64"/>
      <c r="L24" s="65" t="str">
        <f aca="false">IF($C24="","",ROUND(D24*F24,0))</f>
        <v/>
      </c>
      <c r="M24" s="65" t="str">
        <f aca="false">IF($C24="","",IF(E24&gt;=15,ROUND(MIN(E24,40)/40*8*D24*G24,0),0))</f>
        <v/>
      </c>
      <c r="N24" s="65" t="str">
        <f aca="false">IF($C24="","",ROUND(H24*D24*IF((설정!$C$7="예"),1.5,1),0))</f>
        <v/>
      </c>
      <c r="O24" s="65" t="str">
        <f aca="false">IF($C24="","",ROUND(I24*D24*IF((설정!$C$7="예"),0.5,0),0))</f>
        <v/>
      </c>
      <c r="P24" s="65" t="str">
        <f aca="false">IF($C24="","",ROUND(J24*D24*IF((설정!$C$7="예"),1.5,1)+K24*D24*IF((설정!$C$7="예"),2,1),0))</f>
        <v/>
      </c>
      <c r="Q24" s="62" t="str">
        <f aca="false">IF($C24="","",IFERROR(N(INDEX(직원명단!$I$7:$I$36,MATCH($C24,직원명단!$B$7:$B$36,0))),0))</f>
        <v/>
      </c>
      <c r="R24" s="66" t="str">
        <f aca="false">IF($C24="","",SUM(L24:Q24))</f>
        <v/>
      </c>
      <c r="S24" s="65" t="str">
        <f aca="false">IF($C24="","",R24-MIN(Q24,설정!$C$18))</f>
        <v/>
      </c>
      <c r="T24" s="65" t="str">
        <f aca="false">IF($C24="","",IF(IFERROR(INDEX(직원명단!$F$7:$F$36,MATCH($C24,직원명단!$B$7:$B$36,0)),"N")="Y",ROUNDDOWN(ROUNDDOWN(MIN(MAX(S24,설정!$C$11),설정!$C$12),-3)*설정!$C$9,-1),0))</f>
        <v/>
      </c>
      <c r="U24" s="65" t="str">
        <f aca="false">IF($C24="","",IF(IFERROR(INDEX(직원명단!$G$7:$G$36,MATCH($C24,직원명단!$B$7:$B$36,0)),"N")="Y",ROUNDDOWN(S24*설정!$C$13,-1),0))</f>
        <v/>
      </c>
      <c r="V24" s="65" t="str">
        <f aca="false">IF($C24="","",ROUNDDOWN(U24*설정!$C$14,-1))</f>
        <v/>
      </c>
      <c r="W24" s="65" t="str">
        <f aca="false">IF($C24="","",IF(IFERROR(INDEX(직원명단!$H$7:$H$36,MATCH($C24,직원명단!$B$7:$B$36,0)),"N")="Y",ROUNDDOWN(S24*설정!$C$15,-1),0))</f>
        <v/>
      </c>
      <c r="X24" s="67"/>
      <c r="Y24" s="65" t="str">
        <f aca="false">IF($C24="","",ROUNDDOWN(N(X24)*0.1,-1))</f>
        <v/>
      </c>
      <c r="Z24" s="65" t="str">
        <f aca="false">IF($C24="","",T24+U24+V24+W24+N(X24)+Y24)</f>
        <v/>
      </c>
      <c r="AA24" s="68" t="str">
        <f aca="false">IF($C24="","",R24-Z24)</f>
        <v/>
      </c>
      <c r="AB24" s="65" t="str">
        <f aca="false">IF($C24="","",IF(IFERROR(INDEX(직원명단!$F$7:$F$36,MATCH($C24,직원명단!$B$7:$B$36,0)),"N")="Y",ROUNDDOWN(ROUNDDOWN(MIN(MAX(S24,설정!$C$11),설정!$C$12),-3)*설정!$C$10,-1),0))</f>
        <v/>
      </c>
      <c r="AC24" s="65" t="str">
        <f aca="false">IF($C24="","",U24+V24)</f>
        <v/>
      </c>
      <c r="AD24" s="65" t="str">
        <f aca="false">IF($C24="","",IF(IFERROR(INDEX(직원명단!$H$7:$H$36,MATCH($C24,직원명단!$B$7:$B$36,0)),"N")="Y",ROUNDDOWN(S24*설정!$C$16,-1),0))</f>
        <v/>
      </c>
      <c r="AE24" s="65" t="str">
        <f aca="false">IF($C24="","",ROUNDDOWN(S24*설정!$C$17,-1))</f>
        <v/>
      </c>
      <c r="AF24" s="65" t="str">
        <f aca="false">IF($C24="","",IF(E24&gt;=15,ROUND(R24/12,0),0))</f>
        <v/>
      </c>
      <c r="AG24" s="69" t="str">
        <f aca="false">IF($C24="","",R24+AB24+AC24+AD24+AE24+AF24)</f>
        <v/>
      </c>
      <c r="AH24" s="6"/>
    </row>
    <row r="25" customFormat="false" ht="19.5" hidden="false" customHeight="true" outlineLevel="0" collapsed="false">
      <c r="A25" s="6"/>
      <c r="B25" s="70" t="str">
        <f aca="false">IF($C25="","",12)</f>
        <v/>
      </c>
      <c r="C25" s="37"/>
      <c r="D25" s="71" t="str">
        <f aca="false">IF($C25="","",IFERROR(INDEX(직원명단!$C$7:$C$36,MATCH($C25,직원명단!$B$7:$B$36,0)),"명단없음"))</f>
        <v/>
      </c>
      <c r="E25" s="72" t="str">
        <f aca="false">IF($C25="","",IFERROR(INDEX(직원명단!$D$7:$D$36,MATCH($C25,직원명단!$B$7:$B$36,0)),0))</f>
        <v/>
      </c>
      <c r="F25" s="64"/>
      <c r="G25" s="64"/>
      <c r="H25" s="64"/>
      <c r="I25" s="64"/>
      <c r="J25" s="64"/>
      <c r="K25" s="64"/>
      <c r="L25" s="73" t="str">
        <f aca="false">IF($C25="","",ROUND(D25*F25,0))</f>
        <v/>
      </c>
      <c r="M25" s="73" t="str">
        <f aca="false">IF($C25="","",IF(E25&gt;=15,ROUND(MIN(E25,40)/40*8*D25*G25,0),0))</f>
        <v/>
      </c>
      <c r="N25" s="73" t="str">
        <f aca="false">IF($C25="","",ROUND(H25*D25*IF((설정!$C$7="예"),1.5,1),0))</f>
        <v/>
      </c>
      <c r="O25" s="73" t="str">
        <f aca="false">IF($C25="","",ROUND(I25*D25*IF((설정!$C$7="예"),0.5,0),0))</f>
        <v/>
      </c>
      <c r="P25" s="73" t="str">
        <f aca="false">IF($C25="","",ROUND(J25*D25*IF((설정!$C$7="예"),1.5,1)+K25*D25*IF((설정!$C$7="예"),2,1),0))</f>
        <v/>
      </c>
      <c r="Q25" s="71" t="str">
        <f aca="false">IF($C25="","",IFERROR(N(INDEX(직원명단!$I$7:$I$36,MATCH($C25,직원명단!$B$7:$B$36,0))),0))</f>
        <v/>
      </c>
      <c r="R25" s="74" t="str">
        <f aca="false">IF($C25="","",SUM(L25:Q25))</f>
        <v/>
      </c>
      <c r="S25" s="73" t="str">
        <f aca="false">IF($C25="","",R25-MIN(Q25,설정!$C$18))</f>
        <v/>
      </c>
      <c r="T25" s="73" t="str">
        <f aca="false">IF($C25="","",IF(IFERROR(INDEX(직원명단!$F$7:$F$36,MATCH($C25,직원명단!$B$7:$B$36,0)),"N")="Y",ROUNDDOWN(ROUNDDOWN(MIN(MAX(S25,설정!$C$11),설정!$C$12),-3)*설정!$C$9,-1),0))</f>
        <v/>
      </c>
      <c r="U25" s="73" t="str">
        <f aca="false">IF($C25="","",IF(IFERROR(INDEX(직원명단!$G$7:$G$36,MATCH($C25,직원명단!$B$7:$B$36,0)),"N")="Y",ROUNDDOWN(S25*설정!$C$13,-1),0))</f>
        <v/>
      </c>
      <c r="V25" s="73" t="str">
        <f aca="false">IF($C25="","",ROUNDDOWN(U25*설정!$C$14,-1))</f>
        <v/>
      </c>
      <c r="W25" s="73" t="str">
        <f aca="false">IF($C25="","",IF(IFERROR(INDEX(직원명단!$H$7:$H$36,MATCH($C25,직원명단!$B$7:$B$36,0)),"N")="Y",ROUNDDOWN(S25*설정!$C$15,-1),0))</f>
        <v/>
      </c>
      <c r="X25" s="67"/>
      <c r="Y25" s="73" t="str">
        <f aca="false">IF($C25="","",ROUNDDOWN(N(X25)*0.1,-1))</f>
        <v/>
      </c>
      <c r="Z25" s="73" t="str">
        <f aca="false">IF($C25="","",T25+U25+V25+W25+N(X25)+Y25)</f>
        <v/>
      </c>
      <c r="AA25" s="75" t="str">
        <f aca="false">IF($C25="","",R25-Z25)</f>
        <v/>
      </c>
      <c r="AB25" s="73" t="str">
        <f aca="false">IF($C25="","",IF(IFERROR(INDEX(직원명단!$F$7:$F$36,MATCH($C25,직원명단!$B$7:$B$36,0)),"N")="Y",ROUNDDOWN(ROUNDDOWN(MIN(MAX(S25,설정!$C$11),설정!$C$12),-3)*설정!$C$10,-1),0))</f>
        <v/>
      </c>
      <c r="AC25" s="73" t="str">
        <f aca="false">IF($C25="","",U25+V25)</f>
        <v/>
      </c>
      <c r="AD25" s="73" t="str">
        <f aca="false">IF($C25="","",IF(IFERROR(INDEX(직원명단!$H$7:$H$36,MATCH($C25,직원명단!$B$7:$B$36,0)),"N")="Y",ROUNDDOWN(S25*설정!$C$16,-1),0))</f>
        <v/>
      </c>
      <c r="AE25" s="73" t="str">
        <f aca="false">IF($C25="","",ROUNDDOWN(S25*설정!$C$17,-1))</f>
        <v/>
      </c>
      <c r="AF25" s="73" t="str">
        <f aca="false">IF($C25="","",IF(E25&gt;=15,ROUND(R25/12,0),0))</f>
        <v/>
      </c>
      <c r="AG25" s="76" t="str">
        <f aca="false">IF($C25="","",R25+AB25+AC25+AD25+AE25+AF25)</f>
        <v/>
      </c>
      <c r="AH25" s="6"/>
    </row>
    <row r="26" customFormat="false" ht="19.5" hidden="false" customHeight="true" outlineLevel="0" collapsed="false">
      <c r="A26" s="6"/>
      <c r="B26" s="61" t="str">
        <f aca="false">IF($C26="","",13)</f>
        <v/>
      </c>
      <c r="C26" s="37"/>
      <c r="D26" s="62" t="str">
        <f aca="false">IF($C26="","",IFERROR(INDEX(직원명단!$C$7:$C$36,MATCH($C26,직원명단!$B$7:$B$36,0)),"명단없음"))</f>
        <v/>
      </c>
      <c r="E26" s="63" t="str">
        <f aca="false">IF($C26="","",IFERROR(INDEX(직원명단!$D$7:$D$36,MATCH($C26,직원명단!$B$7:$B$36,0)),0))</f>
        <v/>
      </c>
      <c r="F26" s="64"/>
      <c r="G26" s="64"/>
      <c r="H26" s="64"/>
      <c r="I26" s="64"/>
      <c r="J26" s="64"/>
      <c r="K26" s="64"/>
      <c r="L26" s="65" t="str">
        <f aca="false">IF($C26="","",ROUND(D26*F26,0))</f>
        <v/>
      </c>
      <c r="M26" s="65" t="str">
        <f aca="false">IF($C26="","",IF(E26&gt;=15,ROUND(MIN(E26,40)/40*8*D26*G26,0),0))</f>
        <v/>
      </c>
      <c r="N26" s="65" t="str">
        <f aca="false">IF($C26="","",ROUND(H26*D26*IF((설정!$C$7="예"),1.5,1),0))</f>
        <v/>
      </c>
      <c r="O26" s="65" t="str">
        <f aca="false">IF($C26="","",ROUND(I26*D26*IF((설정!$C$7="예"),0.5,0),0))</f>
        <v/>
      </c>
      <c r="P26" s="65" t="str">
        <f aca="false">IF($C26="","",ROUND(J26*D26*IF((설정!$C$7="예"),1.5,1)+K26*D26*IF((설정!$C$7="예"),2,1),0))</f>
        <v/>
      </c>
      <c r="Q26" s="62" t="str">
        <f aca="false">IF($C26="","",IFERROR(N(INDEX(직원명단!$I$7:$I$36,MATCH($C26,직원명단!$B$7:$B$36,0))),0))</f>
        <v/>
      </c>
      <c r="R26" s="66" t="str">
        <f aca="false">IF($C26="","",SUM(L26:Q26))</f>
        <v/>
      </c>
      <c r="S26" s="65" t="str">
        <f aca="false">IF($C26="","",R26-MIN(Q26,설정!$C$18))</f>
        <v/>
      </c>
      <c r="T26" s="65" t="str">
        <f aca="false">IF($C26="","",IF(IFERROR(INDEX(직원명단!$F$7:$F$36,MATCH($C26,직원명단!$B$7:$B$36,0)),"N")="Y",ROUNDDOWN(ROUNDDOWN(MIN(MAX(S26,설정!$C$11),설정!$C$12),-3)*설정!$C$9,-1),0))</f>
        <v/>
      </c>
      <c r="U26" s="65" t="str">
        <f aca="false">IF($C26="","",IF(IFERROR(INDEX(직원명단!$G$7:$G$36,MATCH($C26,직원명단!$B$7:$B$36,0)),"N")="Y",ROUNDDOWN(S26*설정!$C$13,-1),0))</f>
        <v/>
      </c>
      <c r="V26" s="65" t="str">
        <f aca="false">IF($C26="","",ROUNDDOWN(U26*설정!$C$14,-1))</f>
        <v/>
      </c>
      <c r="W26" s="65" t="str">
        <f aca="false">IF($C26="","",IF(IFERROR(INDEX(직원명단!$H$7:$H$36,MATCH($C26,직원명단!$B$7:$B$36,0)),"N")="Y",ROUNDDOWN(S26*설정!$C$15,-1),0))</f>
        <v/>
      </c>
      <c r="X26" s="67"/>
      <c r="Y26" s="65" t="str">
        <f aca="false">IF($C26="","",ROUNDDOWN(N(X26)*0.1,-1))</f>
        <v/>
      </c>
      <c r="Z26" s="65" t="str">
        <f aca="false">IF($C26="","",T26+U26+V26+W26+N(X26)+Y26)</f>
        <v/>
      </c>
      <c r="AA26" s="68" t="str">
        <f aca="false">IF($C26="","",R26-Z26)</f>
        <v/>
      </c>
      <c r="AB26" s="65" t="str">
        <f aca="false">IF($C26="","",IF(IFERROR(INDEX(직원명단!$F$7:$F$36,MATCH($C26,직원명단!$B$7:$B$36,0)),"N")="Y",ROUNDDOWN(ROUNDDOWN(MIN(MAX(S26,설정!$C$11),설정!$C$12),-3)*설정!$C$10,-1),0))</f>
        <v/>
      </c>
      <c r="AC26" s="65" t="str">
        <f aca="false">IF($C26="","",U26+V26)</f>
        <v/>
      </c>
      <c r="AD26" s="65" t="str">
        <f aca="false">IF($C26="","",IF(IFERROR(INDEX(직원명단!$H$7:$H$36,MATCH($C26,직원명단!$B$7:$B$36,0)),"N")="Y",ROUNDDOWN(S26*설정!$C$16,-1),0))</f>
        <v/>
      </c>
      <c r="AE26" s="65" t="str">
        <f aca="false">IF($C26="","",ROUNDDOWN(S26*설정!$C$17,-1))</f>
        <v/>
      </c>
      <c r="AF26" s="65" t="str">
        <f aca="false">IF($C26="","",IF(E26&gt;=15,ROUND(R26/12,0),0))</f>
        <v/>
      </c>
      <c r="AG26" s="69" t="str">
        <f aca="false">IF($C26="","",R26+AB26+AC26+AD26+AE26+AF26)</f>
        <v/>
      </c>
      <c r="AH26" s="6"/>
    </row>
    <row r="27" customFormat="false" ht="19.5" hidden="false" customHeight="true" outlineLevel="0" collapsed="false">
      <c r="A27" s="6"/>
      <c r="B27" s="70" t="str">
        <f aca="false">IF($C27="","",14)</f>
        <v/>
      </c>
      <c r="C27" s="37"/>
      <c r="D27" s="71" t="str">
        <f aca="false">IF($C27="","",IFERROR(INDEX(직원명단!$C$7:$C$36,MATCH($C27,직원명단!$B$7:$B$36,0)),"명단없음"))</f>
        <v/>
      </c>
      <c r="E27" s="72" t="str">
        <f aca="false">IF($C27="","",IFERROR(INDEX(직원명단!$D$7:$D$36,MATCH($C27,직원명단!$B$7:$B$36,0)),0))</f>
        <v/>
      </c>
      <c r="F27" s="64"/>
      <c r="G27" s="64"/>
      <c r="H27" s="64"/>
      <c r="I27" s="64"/>
      <c r="J27" s="64"/>
      <c r="K27" s="64"/>
      <c r="L27" s="73" t="str">
        <f aca="false">IF($C27="","",ROUND(D27*F27,0))</f>
        <v/>
      </c>
      <c r="M27" s="73" t="str">
        <f aca="false">IF($C27="","",IF(E27&gt;=15,ROUND(MIN(E27,40)/40*8*D27*G27,0),0))</f>
        <v/>
      </c>
      <c r="N27" s="73" t="str">
        <f aca="false">IF($C27="","",ROUND(H27*D27*IF((설정!$C$7="예"),1.5,1),0))</f>
        <v/>
      </c>
      <c r="O27" s="73" t="str">
        <f aca="false">IF($C27="","",ROUND(I27*D27*IF((설정!$C$7="예"),0.5,0),0))</f>
        <v/>
      </c>
      <c r="P27" s="73" t="str">
        <f aca="false">IF($C27="","",ROUND(J27*D27*IF((설정!$C$7="예"),1.5,1)+K27*D27*IF((설정!$C$7="예"),2,1),0))</f>
        <v/>
      </c>
      <c r="Q27" s="71" t="str">
        <f aca="false">IF($C27="","",IFERROR(N(INDEX(직원명단!$I$7:$I$36,MATCH($C27,직원명단!$B$7:$B$36,0))),0))</f>
        <v/>
      </c>
      <c r="R27" s="74" t="str">
        <f aca="false">IF($C27="","",SUM(L27:Q27))</f>
        <v/>
      </c>
      <c r="S27" s="73" t="str">
        <f aca="false">IF($C27="","",R27-MIN(Q27,설정!$C$18))</f>
        <v/>
      </c>
      <c r="T27" s="73" t="str">
        <f aca="false">IF($C27="","",IF(IFERROR(INDEX(직원명단!$F$7:$F$36,MATCH($C27,직원명단!$B$7:$B$36,0)),"N")="Y",ROUNDDOWN(ROUNDDOWN(MIN(MAX(S27,설정!$C$11),설정!$C$12),-3)*설정!$C$9,-1),0))</f>
        <v/>
      </c>
      <c r="U27" s="73" t="str">
        <f aca="false">IF($C27="","",IF(IFERROR(INDEX(직원명단!$G$7:$G$36,MATCH($C27,직원명단!$B$7:$B$36,0)),"N")="Y",ROUNDDOWN(S27*설정!$C$13,-1),0))</f>
        <v/>
      </c>
      <c r="V27" s="73" t="str">
        <f aca="false">IF($C27="","",ROUNDDOWN(U27*설정!$C$14,-1))</f>
        <v/>
      </c>
      <c r="W27" s="73" t="str">
        <f aca="false">IF($C27="","",IF(IFERROR(INDEX(직원명단!$H$7:$H$36,MATCH($C27,직원명단!$B$7:$B$36,0)),"N")="Y",ROUNDDOWN(S27*설정!$C$15,-1),0))</f>
        <v/>
      </c>
      <c r="X27" s="67"/>
      <c r="Y27" s="73" t="str">
        <f aca="false">IF($C27="","",ROUNDDOWN(N(X27)*0.1,-1))</f>
        <v/>
      </c>
      <c r="Z27" s="73" t="str">
        <f aca="false">IF($C27="","",T27+U27+V27+W27+N(X27)+Y27)</f>
        <v/>
      </c>
      <c r="AA27" s="75" t="str">
        <f aca="false">IF($C27="","",R27-Z27)</f>
        <v/>
      </c>
      <c r="AB27" s="73" t="str">
        <f aca="false">IF($C27="","",IF(IFERROR(INDEX(직원명단!$F$7:$F$36,MATCH($C27,직원명단!$B$7:$B$36,0)),"N")="Y",ROUNDDOWN(ROUNDDOWN(MIN(MAX(S27,설정!$C$11),설정!$C$12),-3)*설정!$C$10,-1),0))</f>
        <v/>
      </c>
      <c r="AC27" s="73" t="str">
        <f aca="false">IF($C27="","",U27+V27)</f>
        <v/>
      </c>
      <c r="AD27" s="73" t="str">
        <f aca="false">IF($C27="","",IF(IFERROR(INDEX(직원명단!$H$7:$H$36,MATCH($C27,직원명단!$B$7:$B$36,0)),"N")="Y",ROUNDDOWN(S27*설정!$C$16,-1),0))</f>
        <v/>
      </c>
      <c r="AE27" s="73" t="str">
        <f aca="false">IF($C27="","",ROUNDDOWN(S27*설정!$C$17,-1))</f>
        <v/>
      </c>
      <c r="AF27" s="73" t="str">
        <f aca="false">IF($C27="","",IF(E27&gt;=15,ROUND(R27/12,0),0))</f>
        <v/>
      </c>
      <c r="AG27" s="76" t="str">
        <f aca="false">IF($C27="","",R27+AB27+AC27+AD27+AE27+AF27)</f>
        <v/>
      </c>
      <c r="AH27" s="6"/>
    </row>
    <row r="28" customFormat="false" ht="19.5" hidden="false" customHeight="true" outlineLevel="0" collapsed="false">
      <c r="A28" s="6"/>
      <c r="B28" s="61" t="str">
        <f aca="false">IF($C28="","",15)</f>
        <v/>
      </c>
      <c r="C28" s="37"/>
      <c r="D28" s="62" t="str">
        <f aca="false">IF($C28="","",IFERROR(INDEX(직원명단!$C$7:$C$36,MATCH($C28,직원명단!$B$7:$B$36,0)),"명단없음"))</f>
        <v/>
      </c>
      <c r="E28" s="63" t="str">
        <f aca="false">IF($C28="","",IFERROR(INDEX(직원명단!$D$7:$D$36,MATCH($C28,직원명단!$B$7:$B$36,0)),0))</f>
        <v/>
      </c>
      <c r="F28" s="64"/>
      <c r="G28" s="64"/>
      <c r="H28" s="64"/>
      <c r="I28" s="64"/>
      <c r="J28" s="64"/>
      <c r="K28" s="64"/>
      <c r="L28" s="65" t="str">
        <f aca="false">IF($C28="","",ROUND(D28*F28,0))</f>
        <v/>
      </c>
      <c r="M28" s="65" t="str">
        <f aca="false">IF($C28="","",IF(E28&gt;=15,ROUND(MIN(E28,40)/40*8*D28*G28,0),0))</f>
        <v/>
      </c>
      <c r="N28" s="65" t="str">
        <f aca="false">IF($C28="","",ROUND(H28*D28*IF((설정!$C$7="예"),1.5,1),0))</f>
        <v/>
      </c>
      <c r="O28" s="65" t="str">
        <f aca="false">IF($C28="","",ROUND(I28*D28*IF((설정!$C$7="예"),0.5,0),0))</f>
        <v/>
      </c>
      <c r="P28" s="65" t="str">
        <f aca="false">IF($C28="","",ROUND(J28*D28*IF((설정!$C$7="예"),1.5,1)+K28*D28*IF((설정!$C$7="예"),2,1),0))</f>
        <v/>
      </c>
      <c r="Q28" s="62" t="str">
        <f aca="false">IF($C28="","",IFERROR(N(INDEX(직원명단!$I$7:$I$36,MATCH($C28,직원명단!$B$7:$B$36,0))),0))</f>
        <v/>
      </c>
      <c r="R28" s="66" t="str">
        <f aca="false">IF($C28="","",SUM(L28:Q28))</f>
        <v/>
      </c>
      <c r="S28" s="65" t="str">
        <f aca="false">IF($C28="","",R28-MIN(Q28,설정!$C$18))</f>
        <v/>
      </c>
      <c r="T28" s="65" t="str">
        <f aca="false">IF($C28="","",IF(IFERROR(INDEX(직원명단!$F$7:$F$36,MATCH($C28,직원명단!$B$7:$B$36,0)),"N")="Y",ROUNDDOWN(ROUNDDOWN(MIN(MAX(S28,설정!$C$11),설정!$C$12),-3)*설정!$C$9,-1),0))</f>
        <v/>
      </c>
      <c r="U28" s="65" t="str">
        <f aca="false">IF($C28="","",IF(IFERROR(INDEX(직원명단!$G$7:$G$36,MATCH($C28,직원명단!$B$7:$B$36,0)),"N")="Y",ROUNDDOWN(S28*설정!$C$13,-1),0))</f>
        <v/>
      </c>
      <c r="V28" s="65" t="str">
        <f aca="false">IF($C28="","",ROUNDDOWN(U28*설정!$C$14,-1))</f>
        <v/>
      </c>
      <c r="W28" s="65" t="str">
        <f aca="false">IF($C28="","",IF(IFERROR(INDEX(직원명단!$H$7:$H$36,MATCH($C28,직원명단!$B$7:$B$36,0)),"N")="Y",ROUNDDOWN(S28*설정!$C$15,-1),0))</f>
        <v/>
      </c>
      <c r="X28" s="67"/>
      <c r="Y28" s="65" t="str">
        <f aca="false">IF($C28="","",ROUNDDOWN(N(X28)*0.1,-1))</f>
        <v/>
      </c>
      <c r="Z28" s="65" t="str">
        <f aca="false">IF($C28="","",T28+U28+V28+W28+N(X28)+Y28)</f>
        <v/>
      </c>
      <c r="AA28" s="68" t="str">
        <f aca="false">IF($C28="","",R28-Z28)</f>
        <v/>
      </c>
      <c r="AB28" s="65" t="str">
        <f aca="false">IF($C28="","",IF(IFERROR(INDEX(직원명단!$F$7:$F$36,MATCH($C28,직원명단!$B$7:$B$36,0)),"N")="Y",ROUNDDOWN(ROUNDDOWN(MIN(MAX(S28,설정!$C$11),설정!$C$12),-3)*설정!$C$10,-1),0))</f>
        <v/>
      </c>
      <c r="AC28" s="65" t="str">
        <f aca="false">IF($C28="","",U28+V28)</f>
        <v/>
      </c>
      <c r="AD28" s="65" t="str">
        <f aca="false">IF($C28="","",IF(IFERROR(INDEX(직원명단!$H$7:$H$36,MATCH($C28,직원명단!$B$7:$B$36,0)),"N")="Y",ROUNDDOWN(S28*설정!$C$16,-1),0))</f>
        <v/>
      </c>
      <c r="AE28" s="65" t="str">
        <f aca="false">IF($C28="","",ROUNDDOWN(S28*설정!$C$17,-1))</f>
        <v/>
      </c>
      <c r="AF28" s="65" t="str">
        <f aca="false">IF($C28="","",IF(E28&gt;=15,ROUND(R28/12,0),0))</f>
        <v/>
      </c>
      <c r="AG28" s="69" t="str">
        <f aca="false">IF($C28="","",R28+AB28+AC28+AD28+AE28+AF28)</f>
        <v/>
      </c>
      <c r="AH28" s="6"/>
    </row>
    <row r="29" customFormat="false" ht="19.5" hidden="false" customHeight="true" outlineLevel="0" collapsed="false">
      <c r="A29" s="6"/>
      <c r="B29" s="70" t="str">
        <f aca="false">IF($C29="","",16)</f>
        <v/>
      </c>
      <c r="C29" s="37"/>
      <c r="D29" s="71" t="str">
        <f aca="false">IF($C29="","",IFERROR(INDEX(직원명단!$C$7:$C$36,MATCH($C29,직원명단!$B$7:$B$36,0)),"명단없음"))</f>
        <v/>
      </c>
      <c r="E29" s="72" t="str">
        <f aca="false">IF($C29="","",IFERROR(INDEX(직원명단!$D$7:$D$36,MATCH($C29,직원명단!$B$7:$B$36,0)),0))</f>
        <v/>
      </c>
      <c r="F29" s="64"/>
      <c r="G29" s="64"/>
      <c r="H29" s="64"/>
      <c r="I29" s="64"/>
      <c r="J29" s="64"/>
      <c r="K29" s="64"/>
      <c r="L29" s="73" t="str">
        <f aca="false">IF($C29="","",ROUND(D29*F29,0))</f>
        <v/>
      </c>
      <c r="M29" s="73" t="str">
        <f aca="false">IF($C29="","",IF(E29&gt;=15,ROUND(MIN(E29,40)/40*8*D29*G29,0),0))</f>
        <v/>
      </c>
      <c r="N29" s="73" t="str">
        <f aca="false">IF($C29="","",ROUND(H29*D29*IF((설정!$C$7="예"),1.5,1),0))</f>
        <v/>
      </c>
      <c r="O29" s="73" t="str">
        <f aca="false">IF($C29="","",ROUND(I29*D29*IF((설정!$C$7="예"),0.5,0),0))</f>
        <v/>
      </c>
      <c r="P29" s="73" t="str">
        <f aca="false">IF($C29="","",ROUND(J29*D29*IF((설정!$C$7="예"),1.5,1)+K29*D29*IF((설정!$C$7="예"),2,1),0))</f>
        <v/>
      </c>
      <c r="Q29" s="71" t="str">
        <f aca="false">IF($C29="","",IFERROR(N(INDEX(직원명단!$I$7:$I$36,MATCH($C29,직원명단!$B$7:$B$36,0))),0))</f>
        <v/>
      </c>
      <c r="R29" s="74" t="str">
        <f aca="false">IF($C29="","",SUM(L29:Q29))</f>
        <v/>
      </c>
      <c r="S29" s="73" t="str">
        <f aca="false">IF($C29="","",R29-MIN(Q29,설정!$C$18))</f>
        <v/>
      </c>
      <c r="T29" s="73" t="str">
        <f aca="false">IF($C29="","",IF(IFERROR(INDEX(직원명단!$F$7:$F$36,MATCH($C29,직원명단!$B$7:$B$36,0)),"N")="Y",ROUNDDOWN(ROUNDDOWN(MIN(MAX(S29,설정!$C$11),설정!$C$12),-3)*설정!$C$9,-1),0))</f>
        <v/>
      </c>
      <c r="U29" s="73" t="str">
        <f aca="false">IF($C29="","",IF(IFERROR(INDEX(직원명단!$G$7:$G$36,MATCH($C29,직원명단!$B$7:$B$36,0)),"N")="Y",ROUNDDOWN(S29*설정!$C$13,-1),0))</f>
        <v/>
      </c>
      <c r="V29" s="73" t="str">
        <f aca="false">IF($C29="","",ROUNDDOWN(U29*설정!$C$14,-1))</f>
        <v/>
      </c>
      <c r="W29" s="73" t="str">
        <f aca="false">IF($C29="","",IF(IFERROR(INDEX(직원명단!$H$7:$H$36,MATCH($C29,직원명단!$B$7:$B$36,0)),"N")="Y",ROUNDDOWN(S29*설정!$C$15,-1),0))</f>
        <v/>
      </c>
      <c r="X29" s="67"/>
      <c r="Y29" s="73" t="str">
        <f aca="false">IF($C29="","",ROUNDDOWN(N(X29)*0.1,-1))</f>
        <v/>
      </c>
      <c r="Z29" s="73" t="str">
        <f aca="false">IF($C29="","",T29+U29+V29+W29+N(X29)+Y29)</f>
        <v/>
      </c>
      <c r="AA29" s="75" t="str">
        <f aca="false">IF($C29="","",R29-Z29)</f>
        <v/>
      </c>
      <c r="AB29" s="73" t="str">
        <f aca="false">IF($C29="","",IF(IFERROR(INDEX(직원명단!$F$7:$F$36,MATCH($C29,직원명단!$B$7:$B$36,0)),"N")="Y",ROUNDDOWN(ROUNDDOWN(MIN(MAX(S29,설정!$C$11),설정!$C$12),-3)*설정!$C$10,-1),0))</f>
        <v/>
      </c>
      <c r="AC29" s="73" t="str">
        <f aca="false">IF($C29="","",U29+V29)</f>
        <v/>
      </c>
      <c r="AD29" s="73" t="str">
        <f aca="false">IF($C29="","",IF(IFERROR(INDEX(직원명단!$H$7:$H$36,MATCH($C29,직원명단!$B$7:$B$36,0)),"N")="Y",ROUNDDOWN(S29*설정!$C$16,-1),0))</f>
        <v/>
      </c>
      <c r="AE29" s="73" t="str">
        <f aca="false">IF($C29="","",ROUNDDOWN(S29*설정!$C$17,-1))</f>
        <v/>
      </c>
      <c r="AF29" s="73" t="str">
        <f aca="false">IF($C29="","",IF(E29&gt;=15,ROUND(R29/12,0),0))</f>
        <v/>
      </c>
      <c r="AG29" s="76" t="str">
        <f aca="false">IF($C29="","",R29+AB29+AC29+AD29+AE29+AF29)</f>
        <v/>
      </c>
      <c r="AH29" s="6"/>
    </row>
    <row r="30" customFormat="false" ht="19.5" hidden="false" customHeight="true" outlineLevel="0" collapsed="false">
      <c r="A30" s="6"/>
      <c r="B30" s="61" t="str">
        <f aca="false">IF($C30="","",17)</f>
        <v/>
      </c>
      <c r="C30" s="37"/>
      <c r="D30" s="62" t="str">
        <f aca="false">IF($C30="","",IFERROR(INDEX(직원명단!$C$7:$C$36,MATCH($C30,직원명단!$B$7:$B$36,0)),"명단없음"))</f>
        <v/>
      </c>
      <c r="E30" s="63" t="str">
        <f aca="false">IF($C30="","",IFERROR(INDEX(직원명단!$D$7:$D$36,MATCH($C30,직원명단!$B$7:$B$36,0)),0))</f>
        <v/>
      </c>
      <c r="F30" s="64"/>
      <c r="G30" s="64"/>
      <c r="H30" s="64"/>
      <c r="I30" s="64"/>
      <c r="J30" s="64"/>
      <c r="K30" s="64"/>
      <c r="L30" s="65" t="str">
        <f aca="false">IF($C30="","",ROUND(D30*F30,0))</f>
        <v/>
      </c>
      <c r="M30" s="65" t="str">
        <f aca="false">IF($C30="","",IF(E30&gt;=15,ROUND(MIN(E30,40)/40*8*D30*G30,0),0))</f>
        <v/>
      </c>
      <c r="N30" s="65" t="str">
        <f aca="false">IF($C30="","",ROUND(H30*D30*IF((설정!$C$7="예"),1.5,1),0))</f>
        <v/>
      </c>
      <c r="O30" s="65" t="str">
        <f aca="false">IF($C30="","",ROUND(I30*D30*IF((설정!$C$7="예"),0.5,0),0))</f>
        <v/>
      </c>
      <c r="P30" s="65" t="str">
        <f aca="false">IF($C30="","",ROUND(J30*D30*IF((설정!$C$7="예"),1.5,1)+K30*D30*IF((설정!$C$7="예"),2,1),0))</f>
        <v/>
      </c>
      <c r="Q30" s="62" t="str">
        <f aca="false">IF($C30="","",IFERROR(N(INDEX(직원명단!$I$7:$I$36,MATCH($C30,직원명단!$B$7:$B$36,0))),0))</f>
        <v/>
      </c>
      <c r="R30" s="66" t="str">
        <f aca="false">IF($C30="","",SUM(L30:Q30))</f>
        <v/>
      </c>
      <c r="S30" s="65" t="str">
        <f aca="false">IF($C30="","",R30-MIN(Q30,설정!$C$18))</f>
        <v/>
      </c>
      <c r="T30" s="65" t="str">
        <f aca="false">IF($C30="","",IF(IFERROR(INDEX(직원명단!$F$7:$F$36,MATCH($C30,직원명단!$B$7:$B$36,0)),"N")="Y",ROUNDDOWN(ROUNDDOWN(MIN(MAX(S30,설정!$C$11),설정!$C$12),-3)*설정!$C$9,-1),0))</f>
        <v/>
      </c>
      <c r="U30" s="65" t="str">
        <f aca="false">IF($C30="","",IF(IFERROR(INDEX(직원명단!$G$7:$G$36,MATCH($C30,직원명단!$B$7:$B$36,0)),"N")="Y",ROUNDDOWN(S30*설정!$C$13,-1),0))</f>
        <v/>
      </c>
      <c r="V30" s="65" t="str">
        <f aca="false">IF($C30="","",ROUNDDOWN(U30*설정!$C$14,-1))</f>
        <v/>
      </c>
      <c r="W30" s="65" t="str">
        <f aca="false">IF($C30="","",IF(IFERROR(INDEX(직원명단!$H$7:$H$36,MATCH($C30,직원명단!$B$7:$B$36,0)),"N")="Y",ROUNDDOWN(S30*설정!$C$15,-1),0))</f>
        <v/>
      </c>
      <c r="X30" s="67"/>
      <c r="Y30" s="65" t="str">
        <f aca="false">IF($C30="","",ROUNDDOWN(N(X30)*0.1,-1))</f>
        <v/>
      </c>
      <c r="Z30" s="65" t="str">
        <f aca="false">IF($C30="","",T30+U30+V30+W30+N(X30)+Y30)</f>
        <v/>
      </c>
      <c r="AA30" s="68" t="str">
        <f aca="false">IF($C30="","",R30-Z30)</f>
        <v/>
      </c>
      <c r="AB30" s="65" t="str">
        <f aca="false">IF($C30="","",IF(IFERROR(INDEX(직원명단!$F$7:$F$36,MATCH($C30,직원명단!$B$7:$B$36,0)),"N")="Y",ROUNDDOWN(ROUNDDOWN(MIN(MAX(S30,설정!$C$11),설정!$C$12),-3)*설정!$C$10,-1),0))</f>
        <v/>
      </c>
      <c r="AC30" s="65" t="str">
        <f aca="false">IF($C30="","",U30+V30)</f>
        <v/>
      </c>
      <c r="AD30" s="65" t="str">
        <f aca="false">IF($C30="","",IF(IFERROR(INDEX(직원명단!$H$7:$H$36,MATCH($C30,직원명단!$B$7:$B$36,0)),"N")="Y",ROUNDDOWN(S30*설정!$C$16,-1),0))</f>
        <v/>
      </c>
      <c r="AE30" s="65" t="str">
        <f aca="false">IF($C30="","",ROUNDDOWN(S30*설정!$C$17,-1))</f>
        <v/>
      </c>
      <c r="AF30" s="65" t="str">
        <f aca="false">IF($C30="","",IF(E30&gt;=15,ROUND(R30/12,0),0))</f>
        <v/>
      </c>
      <c r="AG30" s="69" t="str">
        <f aca="false">IF($C30="","",R30+AB30+AC30+AD30+AE30+AF30)</f>
        <v/>
      </c>
      <c r="AH30" s="6"/>
    </row>
    <row r="31" customFormat="false" ht="19.5" hidden="false" customHeight="true" outlineLevel="0" collapsed="false">
      <c r="A31" s="6"/>
      <c r="B31" s="70" t="str">
        <f aca="false">IF($C31="","",18)</f>
        <v/>
      </c>
      <c r="C31" s="37"/>
      <c r="D31" s="71" t="str">
        <f aca="false">IF($C31="","",IFERROR(INDEX(직원명단!$C$7:$C$36,MATCH($C31,직원명단!$B$7:$B$36,0)),"명단없음"))</f>
        <v/>
      </c>
      <c r="E31" s="72" t="str">
        <f aca="false">IF($C31="","",IFERROR(INDEX(직원명단!$D$7:$D$36,MATCH($C31,직원명단!$B$7:$B$36,0)),0))</f>
        <v/>
      </c>
      <c r="F31" s="64"/>
      <c r="G31" s="64"/>
      <c r="H31" s="64"/>
      <c r="I31" s="64"/>
      <c r="J31" s="64"/>
      <c r="K31" s="64"/>
      <c r="L31" s="73" t="str">
        <f aca="false">IF($C31="","",ROUND(D31*F31,0))</f>
        <v/>
      </c>
      <c r="M31" s="73" t="str">
        <f aca="false">IF($C31="","",IF(E31&gt;=15,ROUND(MIN(E31,40)/40*8*D31*G31,0),0))</f>
        <v/>
      </c>
      <c r="N31" s="73" t="str">
        <f aca="false">IF($C31="","",ROUND(H31*D31*IF((설정!$C$7="예"),1.5,1),0))</f>
        <v/>
      </c>
      <c r="O31" s="73" t="str">
        <f aca="false">IF($C31="","",ROUND(I31*D31*IF((설정!$C$7="예"),0.5,0),0))</f>
        <v/>
      </c>
      <c r="P31" s="73" t="str">
        <f aca="false">IF($C31="","",ROUND(J31*D31*IF((설정!$C$7="예"),1.5,1)+K31*D31*IF((설정!$C$7="예"),2,1),0))</f>
        <v/>
      </c>
      <c r="Q31" s="71" t="str">
        <f aca="false">IF($C31="","",IFERROR(N(INDEX(직원명단!$I$7:$I$36,MATCH($C31,직원명단!$B$7:$B$36,0))),0))</f>
        <v/>
      </c>
      <c r="R31" s="74" t="str">
        <f aca="false">IF($C31="","",SUM(L31:Q31))</f>
        <v/>
      </c>
      <c r="S31" s="73" t="str">
        <f aca="false">IF($C31="","",R31-MIN(Q31,설정!$C$18))</f>
        <v/>
      </c>
      <c r="T31" s="73" t="str">
        <f aca="false">IF($C31="","",IF(IFERROR(INDEX(직원명단!$F$7:$F$36,MATCH($C31,직원명단!$B$7:$B$36,0)),"N")="Y",ROUNDDOWN(ROUNDDOWN(MIN(MAX(S31,설정!$C$11),설정!$C$12),-3)*설정!$C$9,-1),0))</f>
        <v/>
      </c>
      <c r="U31" s="73" t="str">
        <f aca="false">IF($C31="","",IF(IFERROR(INDEX(직원명단!$G$7:$G$36,MATCH($C31,직원명단!$B$7:$B$36,0)),"N")="Y",ROUNDDOWN(S31*설정!$C$13,-1),0))</f>
        <v/>
      </c>
      <c r="V31" s="73" t="str">
        <f aca="false">IF($C31="","",ROUNDDOWN(U31*설정!$C$14,-1))</f>
        <v/>
      </c>
      <c r="W31" s="73" t="str">
        <f aca="false">IF($C31="","",IF(IFERROR(INDEX(직원명단!$H$7:$H$36,MATCH($C31,직원명단!$B$7:$B$36,0)),"N")="Y",ROUNDDOWN(S31*설정!$C$15,-1),0))</f>
        <v/>
      </c>
      <c r="X31" s="67"/>
      <c r="Y31" s="73" t="str">
        <f aca="false">IF($C31="","",ROUNDDOWN(N(X31)*0.1,-1))</f>
        <v/>
      </c>
      <c r="Z31" s="73" t="str">
        <f aca="false">IF($C31="","",T31+U31+V31+W31+N(X31)+Y31)</f>
        <v/>
      </c>
      <c r="AA31" s="75" t="str">
        <f aca="false">IF($C31="","",R31-Z31)</f>
        <v/>
      </c>
      <c r="AB31" s="73" t="str">
        <f aca="false">IF($C31="","",IF(IFERROR(INDEX(직원명단!$F$7:$F$36,MATCH($C31,직원명단!$B$7:$B$36,0)),"N")="Y",ROUNDDOWN(ROUNDDOWN(MIN(MAX(S31,설정!$C$11),설정!$C$12),-3)*설정!$C$10,-1),0))</f>
        <v/>
      </c>
      <c r="AC31" s="73" t="str">
        <f aca="false">IF($C31="","",U31+V31)</f>
        <v/>
      </c>
      <c r="AD31" s="73" t="str">
        <f aca="false">IF($C31="","",IF(IFERROR(INDEX(직원명단!$H$7:$H$36,MATCH($C31,직원명단!$B$7:$B$36,0)),"N")="Y",ROUNDDOWN(S31*설정!$C$16,-1),0))</f>
        <v/>
      </c>
      <c r="AE31" s="73" t="str">
        <f aca="false">IF($C31="","",ROUNDDOWN(S31*설정!$C$17,-1))</f>
        <v/>
      </c>
      <c r="AF31" s="73" t="str">
        <f aca="false">IF($C31="","",IF(E31&gt;=15,ROUND(R31/12,0),0))</f>
        <v/>
      </c>
      <c r="AG31" s="76" t="str">
        <f aca="false">IF($C31="","",R31+AB31+AC31+AD31+AE31+AF31)</f>
        <v/>
      </c>
      <c r="AH31" s="6"/>
    </row>
    <row r="32" customFormat="false" ht="19.5" hidden="false" customHeight="true" outlineLevel="0" collapsed="false">
      <c r="A32" s="6"/>
      <c r="B32" s="61" t="str">
        <f aca="false">IF($C32="","",19)</f>
        <v/>
      </c>
      <c r="C32" s="37"/>
      <c r="D32" s="62" t="str">
        <f aca="false">IF($C32="","",IFERROR(INDEX(직원명단!$C$7:$C$36,MATCH($C32,직원명단!$B$7:$B$36,0)),"명단없음"))</f>
        <v/>
      </c>
      <c r="E32" s="63" t="str">
        <f aca="false">IF($C32="","",IFERROR(INDEX(직원명단!$D$7:$D$36,MATCH($C32,직원명단!$B$7:$B$36,0)),0))</f>
        <v/>
      </c>
      <c r="F32" s="64"/>
      <c r="G32" s="64"/>
      <c r="H32" s="64"/>
      <c r="I32" s="64"/>
      <c r="J32" s="64"/>
      <c r="K32" s="64"/>
      <c r="L32" s="65" t="str">
        <f aca="false">IF($C32="","",ROUND(D32*F32,0))</f>
        <v/>
      </c>
      <c r="M32" s="65" t="str">
        <f aca="false">IF($C32="","",IF(E32&gt;=15,ROUND(MIN(E32,40)/40*8*D32*G32,0),0))</f>
        <v/>
      </c>
      <c r="N32" s="65" t="str">
        <f aca="false">IF($C32="","",ROUND(H32*D32*IF((설정!$C$7="예"),1.5,1),0))</f>
        <v/>
      </c>
      <c r="O32" s="65" t="str">
        <f aca="false">IF($C32="","",ROUND(I32*D32*IF((설정!$C$7="예"),0.5,0),0))</f>
        <v/>
      </c>
      <c r="P32" s="65" t="str">
        <f aca="false">IF($C32="","",ROUND(J32*D32*IF((설정!$C$7="예"),1.5,1)+K32*D32*IF((설정!$C$7="예"),2,1),0))</f>
        <v/>
      </c>
      <c r="Q32" s="62" t="str">
        <f aca="false">IF($C32="","",IFERROR(N(INDEX(직원명단!$I$7:$I$36,MATCH($C32,직원명단!$B$7:$B$36,0))),0))</f>
        <v/>
      </c>
      <c r="R32" s="66" t="str">
        <f aca="false">IF($C32="","",SUM(L32:Q32))</f>
        <v/>
      </c>
      <c r="S32" s="65" t="str">
        <f aca="false">IF($C32="","",R32-MIN(Q32,설정!$C$18))</f>
        <v/>
      </c>
      <c r="T32" s="65" t="str">
        <f aca="false">IF($C32="","",IF(IFERROR(INDEX(직원명단!$F$7:$F$36,MATCH($C32,직원명단!$B$7:$B$36,0)),"N")="Y",ROUNDDOWN(ROUNDDOWN(MIN(MAX(S32,설정!$C$11),설정!$C$12),-3)*설정!$C$9,-1),0))</f>
        <v/>
      </c>
      <c r="U32" s="65" t="str">
        <f aca="false">IF($C32="","",IF(IFERROR(INDEX(직원명단!$G$7:$G$36,MATCH($C32,직원명단!$B$7:$B$36,0)),"N")="Y",ROUNDDOWN(S32*설정!$C$13,-1),0))</f>
        <v/>
      </c>
      <c r="V32" s="65" t="str">
        <f aca="false">IF($C32="","",ROUNDDOWN(U32*설정!$C$14,-1))</f>
        <v/>
      </c>
      <c r="W32" s="65" t="str">
        <f aca="false">IF($C32="","",IF(IFERROR(INDEX(직원명단!$H$7:$H$36,MATCH($C32,직원명단!$B$7:$B$36,0)),"N")="Y",ROUNDDOWN(S32*설정!$C$15,-1),0))</f>
        <v/>
      </c>
      <c r="X32" s="67"/>
      <c r="Y32" s="65" t="str">
        <f aca="false">IF($C32="","",ROUNDDOWN(N(X32)*0.1,-1))</f>
        <v/>
      </c>
      <c r="Z32" s="65" t="str">
        <f aca="false">IF($C32="","",T32+U32+V32+W32+N(X32)+Y32)</f>
        <v/>
      </c>
      <c r="AA32" s="68" t="str">
        <f aca="false">IF($C32="","",R32-Z32)</f>
        <v/>
      </c>
      <c r="AB32" s="65" t="str">
        <f aca="false">IF($C32="","",IF(IFERROR(INDEX(직원명단!$F$7:$F$36,MATCH($C32,직원명단!$B$7:$B$36,0)),"N")="Y",ROUNDDOWN(ROUNDDOWN(MIN(MAX(S32,설정!$C$11),설정!$C$12),-3)*설정!$C$10,-1),0))</f>
        <v/>
      </c>
      <c r="AC32" s="65" t="str">
        <f aca="false">IF($C32="","",U32+V32)</f>
        <v/>
      </c>
      <c r="AD32" s="65" t="str">
        <f aca="false">IF($C32="","",IF(IFERROR(INDEX(직원명단!$H$7:$H$36,MATCH($C32,직원명단!$B$7:$B$36,0)),"N")="Y",ROUNDDOWN(S32*설정!$C$16,-1),0))</f>
        <v/>
      </c>
      <c r="AE32" s="65" t="str">
        <f aca="false">IF($C32="","",ROUNDDOWN(S32*설정!$C$17,-1))</f>
        <v/>
      </c>
      <c r="AF32" s="65" t="str">
        <f aca="false">IF($C32="","",IF(E32&gt;=15,ROUND(R32/12,0),0))</f>
        <v/>
      </c>
      <c r="AG32" s="69" t="str">
        <f aca="false">IF($C32="","",R32+AB32+AC32+AD32+AE32+AF32)</f>
        <v/>
      </c>
      <c r="AH32" s="6"/>
    </row>
    <row r="33" customFormat="false" ht="19.5" hidden="false" customHeight="true" outlineLevel="0" collapsed="false">
      <c r="A33" s="6"/>
      <c r="B33" s="70" t="str">
        <f aca="false">IF($C33="","",20)</f>
        <v/>
      </c>
      <c r="C33" s="37"/>
      <c r="D33" s="71" t="str">
        <f aca="false">IF($C33="","",IFERROR(INDEX(직원명단!$C$7:$C$36,MATCH($C33,직원명단!$B$7:$B$36,0)),"명단없음"))</f>
        <v/>
      </c>
      <c r="E33" s="72" t="str">
        <f aca="false">IF($C33="","",IFERROR(INDEX(직원명단!$D$7:$D$36,MATCH($C33,직원명단!$B$7:$B$36,0)),0))</f>
        <v/>
      </c>
      <c r="F33" s="64"/>
      <c r="G33" s="64"/>
      <c r="H33" s="64"/>
      <c r="I33" s="64"/>
      <c r="J33" s="64"/>
      <c r="K33" s="64"/>
      <c r="L33" s="73" t="str">
        <f aca="false">IF($C33="","",ROUND(D33*F33,0))</f>
        <v/>
      </c>
      <c r="M33" s="73" t="str">
        <f aca="false">IF($C33="","",IF(E33&gt;=15,ROUND(MIN(E33,40)/40*8*D33*G33,0),0))</f>
        <v/>
      </c>
      <c r="N33" s="73" t="str">
        <f aca="false">IF($C33="","",ROUND(H33*D33*IF((설정!$C$7="예"),1.5,1),0))</f>
        <v/>
      </c>
      <c r="O33" s="73" t="str">
        <f aca="false">IF($C33="","",ROUND(I33*D33*IF((설정!$C$7="예"),0.5,0),0))</f>
        <v/>
      </c>
      <c r="P33" s="73" t="str">
        <f aca="false">IF($C33="","",ROUND(J33*D33*IF((설정!$C$7="예"),1.5,1)+K33*D33*IF((설정!$C$7="예"),2,1),0))</f>
        <v/>
      </c>
      <c r="Q33" s="71" t="str">
        <f aca="false">IF($C33="","",IFERROR(N(INDEX(직원명단!$I$7:$I$36,MATCH($C33,직원명단!$B$7:$B$36,0))),0))</f>
        <v/>
      </c>
      <c r="R33" s="74" t="str">
        <f aca="false">IF($C33="","",SUM(L33:Q33))</f>
        <v/>
      </c>
      <c r="S33" s="73" t="str">
        <f aca="false">IF($C33="","",R33-MIN(Q33,설정!$C$18))</f>
        <v/>
      </c>
      <c r="T33" s="73" t="str">
        <f aca="false">IF($C33="","",IF(IFERROR(INDEX(직원명단!$F$7:$F$36,MATCH($C33,직원명단!$B$7:$B$36,0)),"N")="Y",ROUNDDOWN(ROUNDDOWN(MIN(MAX(S33,설정!$C$11),설정!$C$12),-3)*설정!$C$9,-1),0))</f>
        <v/>
      </c>
      <c r="U33" s="73" t="str">
        <f aca="false">IF($C33="","",IF(IFERROR(INDEX(직원명단!$G$7:$G$36,MATCH($C33,직원명단!$B$7:$B$36,0)),"N")="Y",ROUNDDOWN(S33*설정!$C$13,-1),0))</f>
        <v/>
      </c>
      <c r="V33" s="73" t="str">
        <f aca="false">IF($C33="","",ROUNDDOWN(U33*설정!$C$14,-1))</f>
        <v/>
      </c>
      <c r="W33" s="73" t="str">
        <f aca="false">IF($C33="","",IF(IFERROR(INDEX(직원명단!$H$7:$H$36,MATCH($C33,직원명단!$B$7:$B$36,0)),"N")="Y",ROUNDDOWN(S33*설정!$C$15,-1),0))</f>
        <v/>
      </c>
      <c r="X33" s="67"/>
      <c r="Y33" s="73" t="str">
        <f aca="false">IF($C33="","",ROUNDDOWN(N(X33)*0.1,-1))</f>
        <v/>
      </c>
      <c r="Z33" s="73" t="str">
        <f aca="false">IF($C33="","",T33+U33+V33+W33+N(X33)+Y33)</f>
        <v/>
      </c>
      <c r="AA33" s="75" t="str">
        <f aca="false">IF($C33="","",R33-Z33)</f>
        <v/>
      </c>
      <c r="AB33" s="73" t="str">
        <f aca="false">IF($C33="","",IF(IFERROR(INDEX(직원명단!$F$7:$F$36,MATCH($C33,직원명단!$B$7:$B$36,0)),"N")="Y",ROUNDDOWN(ROUNDDOWN(MIN(MAX(S33,설정!$C$11),설정!$C$12),-3)*설정!$C$10,-1),0))</f>
        <v/>
      </c>
      <c r="AC33" s="73" t="str">
        <f aca="false">IF($C33="","",U33+V33)</f>
        <v/>
      </c>
      <c r="AD33" s="73" t="str">
        <f aca="false">IF($C33="","",IF(IFERROR(INDEX(직원명단!$H$7:$H$36,MATCH($C33,직원명단!$B$7:$B$36,0)),"N")="Y",ROUNDDOWN(S33*설정!$C$16,-1),0))</f>
        <v/>
      </c>
      <c r="AE33" s="73" t="str">
        <f aca="false">IF($C33="","",ROUNDDOWN(S33*설정!$C$17,-1))</f>
        <v/>
      </c>
      <c r="AF33" s="73" t="str">
        <f aca="false">IF($C33="","",IF(E33&gt;=15,ROUND(R33/12,0),0))</f>
        <v/>
      </c>
      <c r="AG33" s="76" t="str">
        <f aca="false">IF($C33="","",R33+AB33+AC33+AD33+AE33+AF33)</f>
        <v/>
      </c>
      <c r="AH33" s="6"/>
    </row>
    <row r="34" customFormat="false" ht="19.5" hidden="false" customHeight="true" outlineLevel="0" collapsed="false">
      <c r="A34" s="6"/>
      <c r="B34" s="61" t="str">
        <f aca="false">IF($C34="","",21)</f>
        <v/>
      </c>
      <c r="C34" s="37"/>
      <c r="D34" s="62" t="str">
        <f aca="false">IF($C34="","",IFERROR(INDEX(직원명단!$C$7:$C$36,MATCH($C34,직원명단!$B$7:$B$36,0)),"명단없음"))</f>
        <v/>
      </c>
      <c r="E34" s="63" t="str">
        <f aca="false">IF($C34="","",IFERROR(INDEX(직원명단!$D$7:$D$36,MATCH($C34,직원명단!$B$7:$B$36,0)),0))</f>
        <v/>
      </c>
      <c r="F34" s="64"/>
      <c r="G34" s="64"/>
      <c r="H34" s="64"/>
      <c r="I34" s="64"/>
      <c r="J34" s="64"/>
      <c r="K34" s="64"/>
      <c r="L34" s="65" t="str">
        <f aca="false">IF($C34="","",ROUND(D34*F34,0))</f>
        <v/>
      </c>
      <c r="M34" s="65" t="str">
        <f aca="false">IF($C34="","",IF(E34&gt;=15,ROUND(MIN(E34,40)/40*8*D34*G34,0),0))</f>
        <v/>
      </c>
      <c r="N34" s="65" t="str">
        <f aca="false">IF($C34="","",ROUND(H34*D34*IF((설정!$C$7="예"),1.5,1),0))</f>
        <v/>
      </c>
      <c r="O34" s="65" t="str">
        <f aca="false">IF($C34="","",ROUND(I34*D34*IF((설정!$C$7="예"),0.5,0),0))</f>
        <v/>
      </c>
      <c r="P34" s="65" t="str">
        <f aca="false">IF($C34="","",ROUND(J34*D34*IF((설정!$C$7="예"),1.5,1)+K34*D34*IF((설정!$C$7="예"),2,1),0))</f>
        <v/>
      </c>
      <c r="Q34" s="62" t="str">
        <f aca="false">IF($C34="","",IFERROR(N(INDEX(직원명단!$I$7:$I$36,MATCH($C34,직원명단!$B$7:$B$36,0))),0))</f>
        <v/>
      </c>
      <c r="R34" s="66" t="str">
        <f aca="false">IF($C34="","",SUM(L34:Q34))</f>
        <v/>
      </c>
      <c r="S34" s="65" t="str">
        <f aca="false">IF($C34="","",R34-MIN(Q34,설정!$C$18))</f>
        <v/>
      </c>
      <c r="T34" s="65" t="str">
        <f aca="false">IF($C34="","",IF(IFERROR(INDEX(직원명단!$F$7:$F$36,MATCH($C34,직원명단!$B$7:$B$36,0)),"N")="Y",ROUNDDOWN(ROUNDDOWN(MIN(MAX(S34,설정!$C$11),설정!$C$12),-3)*설정!$C$9,-1),0))</f>
        <v/>
      </c>
      <c r="U34" s="65" t="str">
        <f aca="false">IF($C34="","",IF(IFERROR(INDEX(직원명단!$G$7:$G$36,MATCH($C34,직원명단!$B$7:$B$36,0)),"N")="Y",ROUNDDOWN(S34*설정!$C$13,-1),0))</f>
        <v/>
      </c>
      <c r="V34" s="65" t="str">
        <f aca="false">IF($C34="","",ROUNDDOWN(U34*설정!$C$14,-1))</f>
        <v/>
      </c>
      <c r="W34" s="65" t="str">
        <f aca="false">IF($C34="","",IF(IFERROR(INDEX(직원명단!$H$7:$H$36,MATCH($C34,직원명단!$B$7:$B$36,0)),"N")="Y",ROUNDDOWN(S34*설정!$C$15,-1),0))</f>
        <v/>
      </c>
      <c r="X34" s="67"/>
      <c r="Y34" s="65" t="str">
        <f aca="false">IF($C34="","",ROUNDDOWN(N(X34)*0.1,-1))</f>
        <v/>
      </c>
      <c r="Z34" s="65" t="str">
        <f aca="false">IF($C34="","",T34+U34+V34+W34+N(X34)+Y34)</f>
        <v/>
      </c>
      <c r="AA34" s="68" t="str">
        <f aca="false">IF($C34="","",R34-Z34)</f>
        <v/>
      </c>
      <c r="AB34" s="65" t="str">
        <f aca="false">IF($C34="","",IF(IFERROR(INDEX(직원명단!$F$7:$F$36,MATCH($C34,직원명단!$B$7:$B$36,0)),"N")="Y",ROUNDDOWN(ROUNDDOWN(MIN(MAX(S34,설정!$C$11),설정!$C$12),-3)*설정!$C$10,-1),0))</f>
        <v/>
      </c>
      <c r="AC34" s="65" t="str">
        <f aca="false">IF($C34="","",U34+V34)</f>
        <v/>
      </c>
      <c r="AD34" s="65" t="str">
        <f aca="false">IF($C34="","",IF(IFERROR(INDEX(직원명단!$H$7:$H$36,MATCH($C34,직원명단!$B$7:$B$36,0)),"N")="Y",ROUNDDOWN(S34*설정!$C$16,-1),0))</f>
        <v/>
      </c>
      <c r="AE34" s="65" t="str">
        <f aca="false">IF($C34="","",ROUNDDOWN(S34*설정!$C$17,-1))</f>
        <v/>
      </c>
      <c r="AF34" s="65" t="str">
        <f aca="false">IF($C34="","",IF(E34&gt;=15,ROUND(R34/12,0),0))</f>
        <v/>
      </c>
      <c r="AG34" s="69" t="str">
        <f aca="false">IF($C34="","",R34+AB34+AC34+AD34+AE34+AF34)</f>
        <v/>
      </c>
      <c r="AH34" s="6"/>
    </row>
    <row r="35" customFormat="false" ht="19.5" hidden="false" customHeight="true" outlineLevel="0" collapsed="false">
      <c r="A35" s="6"/>
      <c r="B35" s="70" t="str">
        <f aca="false">IF($C35="","",22)</f>
        <v/>
      </c>
      <c r="C35" s="37"/>
      <c r="D35" s="71" t="str">
        <f aca="false">IF($C35="","",IFERROR(INDEX(직원명단!$C$7:$C$36,MATCH($C35,직원명단!$B$7:$B$36,0)),"명단없음"))</f>
        <v/>
      </c>
      <c r="E35" s="72" t="str">
        <f aca="false">IF($C35="","",IFERROR(INDEX(직원명단!$D$7:$D$36,MATCH($C35,직원명단!$B$7:$B$36,0)),0))</f>
        <v/>
      </c>
      <c r="F35" s="64"/>
      <c r="G35" s="64"/>
      <c r="H35" s="64"/>
      <c r="I35" s="64"/>
      <c r="J35" s="64"/>
      <c r="K35" s="64"/>
      <c r="L35" s="73" t="str">
        <f aca="false">IF($C35="","",ROUND(D35*F35,0))</f>
        <v/>
      </c>
      <c r="M35" s="73" t="str">
        <f aca="false">IF($C35="","",IF(E35&gt;=15,ROUND(MIN(E35,40)/40*8*D35*G35,0),0))</f>
        <v/>
      </c>
      <c r="N35" s="73" t="str">
        <f aca="false">IF($C35="","",ROUND(H35*D35*IF((설정!$C$7="예"),1.5,1),0))</f>
        <v/>
      </c>
      <c r="O35" s="73" t="str">
        <f aca="false">IF($C35="","",ROUND(I35*D35*IF((설정!$C$7="예"),0.5,0),0))</f>
        <v/>
      </c>
      <c r="P35" s="73" t="str">
        <f aca="false">IF($C35="","",ROUND(J35*D35*IF((설정!$C$7="예"),1.5,1)+K35*D35*IF((설정!$C$7="예"),2,1),0))</f>
        <v/>
      </c>
      <c r="Q35" s="71" t="str">
        <f aca="false">IF($C35="","",IFERROR(N(INDEX(직원명단!$I$7:$I$36,MATCH($C35,직원명단!$B$7:$B$36,0))),0))</f>
        <v/>
      </c>
      <c r="R35" s="74" t="str">
        <f aca="false">IF($C35="","",SUM(L35:Q35))</f>
        <v/>
      </c>
      <c r="S35" s="73" t="str">
        <f aca="false">IF($C35="","",R35-MIN(Q35,설정!$C$18))</f>
        <v/>
      </c>
      <c r="T35" s="73" t="str">
        <f aca="false">IF($C35="","",IF(IFERROR(INDEX(직원명단!$F$7:$F$36,MATCH($C35,직원명단!$B$7:$B$36,0)),"N")="Y",ROUNDDOWN(ROUNDDOWN(MIN(MAX(S35,설정!$C$11),설정!$C$12),-3)*설정!$C$9,-1),0))</f>
        <v/>
      </c>
      <c r="U35" s="73" t="str">
        <f aca="false">IF($C35="","",IF(IFERROR(INDEX(직원명단!$G$7:$G$36,MATCH($C35,직원명단!$B$7:$B$36,0)),"N")="Y",ROUNDDOWN(S35*설정!$C$13,-1),0))</f>
        <v/>
      </c>
      <c r="V35" s="73" t="str">
        <f aca="false">IF($C35="","",ROUNDDOWN(U35*설정!$C$14,-1))</f>
        <v/>
      </c>
      <c r="W35" s="73" t="str">
        <f aca="false">IF($C35="","",IF(IFERROR(INDEX(직원명단!$H$7:$H$36,MATCH($C35,직원명단!$B$7:$B$36,0)),"N")="Y",ROUNDDOWN(S35*설정!$C$15,-1),0))</f>
        <v/>
      </c>
      <c r="X35" s="67"/>
      <c r="Y35" s="73" t="str">
        <f aca="false">IF($C35="","",ROUNDDOWN(N(X35)*0.1,-1))</f>
        <v/>
      </c>
      <c r="Z35" s="73" t="str">
        <f aca="false">IF($C35="","",T35+U35+V35+W35+N(X35)+Y35)</f>
        <v/>
      </c>
      <c r="AA35" s="75" t="str">
        <f aca="false">IF($C35="","",R35-Z35)</f>
        <v/>
      </c>
      <c r="AB35" s="73" t="str">
        <f aca="false">IF($C35="","",IF(IFERROR(INDEX(직원명단!$F$7:$F$36,MATCH($C35,직원명단!$B$7:$B$36,0)),"N")="Y",ROUNDDOWN(ROUNDDOWN(MIN(MAX(S35,설정!$C$11),설정!$C$12),-3)*설정!$C$10,-1),0))</f>
        <v/>
      </c>
      <c r="AC35" s="73" t="str">
        <f aca="false">IF($C35="","",U35+V35)</f>
        <v/>
      </c>
      <c r="AD35" s="73" t="str">
        <f aca="false">IF($C35="","",IF(IFERROR(INDEX(직원명단!$H$7:$H$36,MATCH($C35,직원명단!$B$7:$B$36,0)),"N")="Y",ROUNDDOWN(S35*설정!$C$16,-1),0))</f>
        <v/>
      </c>
      <c r="AE35" s="73" t="str">
        <f aca="false">IF($C35="","",ROUNDDOWN(S35*설정!$C$17,-1))</f>
        <v/>
      </c>
      <c r="AF35" s="73" t="str">
        <f aca="false">IF($C35="","",IF(E35&gt;=15,ROUND(R35/12,0),0))</f>
        <v/>
      </c>
      <c r="AG35" s="76" t="str">
        <f aca="false">IF($C35="","",R35+AB35+AC35+AD35+AE35+AF35)</f>
        <v/>
      </c>
      <c r="AH35" s="6"/>
    </row>
    <row r="36" customFormat="false" ht="19.5" hidden="false" customHeight="true" outlineLevel="0" collapsed="false">
      <c r="A36" s="6"/>
      <c r="B36" s="61" t="str">
        <f aca="false">IF($C36="","",23)</f>
        <v/>
      </c>
      <c r="C36" s="37"/>
      <c r="D36" s="62" t="str">
        <f aca="false">IF($C36="","",IFERROR(INDEX(직원명단!$C$7:$C$36,MATCH($C36,직원명단!$B$7:$B$36,0)),"명단없음"))</f>
        <v/>
      </c>
      <c r="E36" s="63" t="str">
        <f aca="false">IF($C36="","",IFERROR(INDEX(직원명단!$D$7:$D$36,MATCH($C36,직원명단!$B$7:$B$36,0)),0))</f>
        <v/>
      </c>
      <c r="F36" s="64"/>
      <c r="G36" s="64"/>
      <c r="H36" s="64"/>
      <c r="I36" s="64"/>
      <c r="J36" s="64"/>
      <c r="K36" s="64"/>
      <c r="L36" s="65" t="str">
        <f aca="false">IF($C36="","",ROUND(D36*F36,0))</f>
        <v/>
      </c>
      <c r="M36" s="65" t="str">
        <f aca="false">IF($C36="","",IF(E36&gt;=15,ROUND(MIN(E36,40)/40*8*D36*G36,0),0))</f>
        <v/>
      </c>
      <c r="N36" s="65" t="str">
        <f aca="false">IF($C36="","",ROUND(H36*D36*IF((설정!$C$7="예"),1.5,1),0))</f>
        <v/>
      </c>
      <c r="O36" s="65" t="str">
        <f aca="false">IF($C36="","",ROUND(I36*D36*IF((설정!$C$7="예"),0.5,0),0))</f>
        <v/>
      </c>
      <c r="P36" s="65" t="str">
        <f aca="false">IF($C36="","",ROUND(J36*D36*IF((설정!$C$7="예"),1.5,1)+K36*D36*IF((설정!$C$7="예"),2,1),0))</f>
        <v/>
      </c>
      <c r="Q36" s="62" t="str">
        <f aca="false">IF($C36="","",IFERROR(N(INDEX(직원명단!$I$7:$I$36,MATCH($C36,직원명단!$B$7:$B$36,0))),0))</f>
        <v/>
      </c>
      <c r="R36" s="66" t="str">
        <f aca="false">IF($C36="","",SUM(L36:Q36))</f>
        <v/>
      </c>
      <c r="S36" s="65" t="str">
        <f aca="false">IF($C36="","",R36-MIN(Q36,설정!$C$18))</f>
        <v/>
      </c>
      <c r="T36" s="65" t="str">
        <f aca="false">IF($C36="","",IF(IFERROR(INDEX(직원명단!$F$7:$F$36,MATCH($C36,직원명단!$B$7:$B$36,0)),"N")="Y",ROUNDDOWN(ROUNDDOWN(MIN(MAX(S36,설정!$C$11),설정!$C$12),-3)*설정!$C$9,-1),0))</f>
        <v/>
      </c>
      <c r="U36" s="65" t="str">
        <f aca="false">IF($C36="","",IF(IFERROR(INDEX(직원명단!$G$7:$G$36,MATCH($C36,직원명단!$B$7:$B$36,0)),"N")="Y",ROUNDDOWN(S36*설정!$C$13,-1),0))</f>
        <v/>
      </c>
      <c r="V36" s="65" t="str">
        <f aca="false">IF($C36="","",ROUNDDOWN(U36*설정!$C$14,-1))</f>
        <v/>
      </c>
      <c r="W36" s="65" t="str">
        <f aca="false">IF($C36="","",IF(IFERROR(INDEX(직원명단!$H$7:$H$36,MATCH($C36,직원명단!$B$7:$B$36,0)),"N")="Y",ROUNDDOWN(S36*설정!$C$15,-1),0))</f>
        <v/>
      </c>
      <c r="X36" s="67"/>
      <c r="Y36" s="65" t="str">
        <f aca="false">IF($C36="","",ROUNDDOWN(N(X36)*0.1,-1))</f>
        <v/>
      </c>
      <c r="Z36" s="65" t="str">
        <f aca="false">IF($C36="","",T36+U36+V36+W36+N(X36)+Y36)</f>
        <v/>
      </c>
      <c r="AA36" s="68" t="str">
        <f aca="false">IF($C36="","",R36-Z36)</f>
        <v/>
      </c>
      <c r="AB36" s="65" t="str">
        <f aca="false">IF($C36="","",IF(IFERROR(INDEX(직원명단!$F$7:$F$36,MATCH($C36,직원명단!$B$7:$B$36,0)),"N")="Y",ROUNDDOWN(ROUNDDOWN(MIN(MAX(S36,설정!$C$11),설정!$C$12),-3)*설정!$C$10,-1),0))</f>
        <v/>
      </c>
      <c r="AC36" s="65" t="str">
        <f aca="false">IF($C36="","",U36+V36)</f>
        <v/>
      </c>
      <c r="AD36" s="65" t="str">
        <f aca="false">IF($C36="","",IF(IFERROR(INDEX(직원명단!$H$7:$H$36,MATCH($C36,직원명단!$B$7:$B$36,0)),"N")="Y",ROUNDDOWN(S36*설정!$C$16,-1),0))</f>
        <v/>
      </c>
      <c r="AE36" s="65" t="str">
        <f aca="false">IF($C36="","",ROUNDDOWN(S36*설정!$C$17,-1))</f>
        <v/>
      </c>
      <c r="AF36" s="65" t="str">
        <f aca="false">IF($C36="","",IF(E36&gt;=15,ROUND(R36/12,0),0))</f>
        <v/>
      </c>
      <c r="AG36" s="69" t="str">
        <f aca="false">IF($C36="","",R36+AB36+AC36+AD36+AE36+AF36)</f>
        <v/>
      </c>
      <c r="AH36" s="6"/>
    </row>
    <row r="37" customFormat="false" ht="19.5" hidden="false" customHeight="true" outlineLevel="0" collapsed="false">
      <c r="A37" s="6"/>
      <c r="B37" s="70" t="str">
        <f aca="false">IF($C37="","",24)</f>
        <v/>
      </c>
      <c r="C37" s="37"/>
      <c r="D37" s="71" t="str">
        <f aca="false">IF($C37="","",IFERROR(INDEX(직원명단!$C$7:$C$36,MATCH($C37,직원명단!$B$7:$B$36,0)),"명단없음"))</f>
        <v/>
      </c>
      <c r="E37" s="72" t="str">
        <f aca="false">IF($C37="","",IFERROR(INDEX(직원명단!$D$7:$D$36,MATCH($C37,직원명단!$B$7:$B$36,0)),0))</f>
        <v/>
      </c>
      <c r="F37" s="64"/>
      <c r="G37" s="64"/>
      <c r="H37" s="64"/>
      <c r="I37" s="64"/>
      <c r="J37" s="64"/>
      <c r="K37" s="64"/>
      <c r="L37" s="73" t="str">
        <f aca="false">IF($C37="","",ROUND(D37*F37,0))</f>
        <v/>
      </c>
      <c r="M37" s="73" t="str">
        <f aca="false">IF($C37="","",IF(E37&gt;=15,ROUND(MIN(E37,40)/40*8*D37*G37,0),0))</f>
        <v/>
      </c>
      <c r="N37" s="73" t="str">
        <f aca="false">IF($C37="","",ROUND(H37*D37*IF((설정!$C$7="예"),1.5,1),0))</f>
        <v/>
      </c>
      <c r="O37" s="73" t="str">
        <f aca="false">IF($C37="","",ROUND(I37*D37*IF((설정!$C$7="예"),0.5,0),0))</f>
        <v/>
      </c>
      <c r="P37" s="73" t="str">
        <f aca="false">IF($C37="","",ROUND(J37*D37*IF((설정!$C$7="예"),1.5,1)+K37*D37*IF((설정!$C$7="예"),2,1),0))</f>
        <v/>
      </c>
      <c r="Q37" s="71" t="str">
        <f aca="false">IF($C37="","",IFERROR(N(INDEX(직원명단!$I$7:$I$36,MATCH($C37,직원명단!$B$7:$B$36,0))),0))</f>
        <v/>
      </c>
      <c r="R37" s="74" t="str">
        <f aca="false">IF($C37="","",SUM(L37:Q37))</f>
        <v/>
      </c>
      <c r="S37" s="73" t="str">
        <f aca="false">IF($C37="","",R37-MIN(Q37,설정!$C$18))</f>
        <v/>
      </c>
      <c r="T37" s="73" t="str">
        <f aca="false">IF($C37="","",IF(IFERROR(INDEX(직원명단!$F$7:$F$36,MATCH($C37,직원명단!$B$7:$B$36,0)),"N")="Y",ROUNDDOWN(ROUNDDOWN(MIN(MAX(S37,설정!$C$11),설정!$C$12),-3)*설정!$C$9,-1),0))</f>
        <v/>
      </c>
      <c r="U37" s="73" t="str">
        <f aca="false">IF($C37="","",IF(IFERROR(INDEX(직원명단!$G$7:$G$36,MATCH($C37,직원명단!$B$7:$B$36,0)),"N")="Y",ROUNDDOWN(S37*설정!$C$13,-1),0))</f>
        <v/>
      </c>
      <c r="V37" s="73" t="str">
        <f aca="false">IF($C37="","",ROUNDDOWN(U37*설정!$C$14,-1))</f>
        <v/>
      </c>
      <c r="W37" s="73" t="str">
        <f aca="false">IF($C37="","",IF(IFERROR(INDEX(직원명단!$H$7:$H$36,MATCH($C37,직원명단!$B$7:$B$36,0)),"N")="Y",ROUNDDOWN(S37*설정!$C$15,-1),0))</f>
        <v/>
      </c>
      <c r="X37" s="67"/>
      <c r="Y37" s="73" t="str">
        <f aca="false">IF($C37="","",ROUNDDOWN(N(X37)*0.1,-1))</f>
        <v/>
      </c>
      <c r="Z37" s="73" t="str">
        <f aca="false">IF($C37="","",T37+U37+V37+W37+N(X37)+Y37)</f>
        <v/>
      </c>
      <c r="AA37" s="75" t="str">
        <f aca="false">IF($C37="","",R37-Z37)</f>
        <v/>
      </c>
      <c r="AB37" s="73" t="str">
        <f aca="false">IF($C37="","",IF(IFERROR(INDEX(직원명단!$F$7:$F$36,MATCH($C37,직원명단!$B$7:$B$36,0)),"N")="Y",ROUNDDOWN(ROUNDDOWN(MIN(MAX(S37,설정!$C$11),설정!$C$12),-3)*설정!$C$10,-1),0))</f>
        <v/>
      </c>
      <c r="AC37" s="73" t="str">
        <f aca="false">IF($C37="","",U37+V37)</f>
        <v/>
      </c>
      <c r="AD37" s="73" t="str">
        <f aca="false">IF($C37="","",IF(IFERROR(INDEX(직원명단!$H$7:$H$36,MATCH($C37,직원명단!$B$7:$B$36,0)),"N")="Y",ROUNDDOWN(S37*설정!$C$16,-1),0))</f>
        <v/>
      </c>
      <c r="AE37" s="73" t="str">
        <f aca="false">IF($C37="","",ROUNDDOWN(S37*설정!$C$17,-1))</f>
        <v/>
      </c>
      <c r="AF37" s="73" t="str">
        <f aca="false">IF($C37="","",IF(E37&gt;=15,ROUND(R37/12,0),0))</f>
        <v/>
      </c>
      <c r="AG37" s="76" t="str">
        <f aca="false">IF($C37="","",R37+AB37+AC37+AD37+AE37+AF37)</f>
        <v/>
      </c>
      <c r="AH37" s="6"/>
    </row>
    <row r="38" customFormat="false" ht="19.5" hidden="false" customHeight="true" outlineLevel="0" collapsed="false">
      <c r="A38" s="6"/>
      <c r="B38" s="61" t="str">
        <f aca="false">IF($C38="","",25)</f>
        <v/>
      </c>
      <c r="C38" s="37"/>
      <c r="D38" s="62" t="str">
        <f aca="false">IF($C38="","",IFERROR(INDEX(직원명단!$C$7:$C$36,MATCH($C38,직원명단!$B$7:$B$36,0)),"명단없음"))</f>
        <v/>
      </c>
      <c r="E38" s="63" t="str">
        <f aca="false">IF($C38="","",IFERROR(INDEX(직원명단!$D$7:$D$36,MATCH($C38,직원명단!$B$7:$B$36,0)),0))</f>
        <v/>
      </c>
      <c r="F38" s="64"/>
      <c r="G38" s="64"/>
      <c r="H38" s="64"/>
      <c r="I38" s="64"/>
      <c r="J38" s="64"/>
      <c r="K38" s="64"/>
      <c r="L38" s="65" t="str">
        <f aca="false">IF($C38="","",ROUND(D38*F38,0))</f>
        <v/>
      </c>
      <c r="M38" s="65" t="str">
        <f aca="false">IF($C38="","",IF(E38&gt;=15,ROUND(MIN(E38,40)/40*8*D38*G38,0),0))</f>
        <v/>
      </c>
      <c r="N38" s="65" t="str">
        <f aca="false">IF($C38="","",ROUND(H38*D38*IF((설정!$C$7="예"),1.5,1),0))</f>
        <v/>
      </c>
      <c r="O38" s="65" t="str">
        <f aca="false">IF($C38="","",ROUND(I38*D38*IF((설정!$C$7="예"),0.5,0),0))</f>
        <v/>
      </c>
      <c r="P38" s="65" t="str">
        <f aca="false">IF($C38="","",ROUND(J38*D38*IF((설정!$C$7="예"),1.5,1)+K38*D38*IF((설정!$C$7="예"),2,1),0))</f>
        <v/>
      </c>
      <c r="Q38" s="62" t="str">
        <f aca="false">IF($C38="","",IFERROR(N(INDEX(직원명단!$I$7:$I$36,MATCH($C38,직원명단!$B$7:$B$36,0))),0))</f>
        <v/>
      </c>
      <c r="R38" s="66" t="str">
        <f aca="false">IF($C38="","",SUM(L38:Q38))</f>
        <v/>
      </c>
      <c r="S38" s="65" t="str">
        <f aca="false">IF($C38="","",R38-MIN(Q38,설정!$C$18))</f>
        <v/>
      </c>
      <c r="T38" s="65" t="str">
        <f aca="false">IF($C38="","",IF(IFERROR(INDEX(직원명단!$F$7:$F$36,MATCH($C38,직원명단!$B$7:$B$36,0)),"N")="Y",ROUNDDOWN(ROUNDDOWN(MIN(MAX(S38,설정!$C$11),설정!$C$12),-3)*설정!$C$9,-1),0))</f>
        <v/>
      </c>
      <c r="U38" s="65" t="str">
        <f aca="false">IF($C38="","",IF(IFERROR(INDEX(직원명단!$G$7:$G$36,MATCH($C38,직원명단!$B$7:$B$36,0)),"N")="Y",ROUNDDOWN(S38*설정!$C$13,-1),0))</f>
        <v/>
      </c>
      <c r="V38" s="65" t="str">
        <f aca="false">IF($C38="","",ROUNDDOWN(U38*설정!$C$14,-1))</f>
        <v/>
      </c>
      <c r="W38" s="65" t="str">
        <f aca="false">IF($C38="","",IF(IFERROR(INDEX(직원명단!$H$7:$H$36,MATCH($C38,직원명단!$B$7:$B$36,0)),"N")="Y",ROUNDDOWN(S38*설정!$C$15,-1),0))</f>
        <v/>
      </c>
      <c r="X38" s="67"/>
      <c r="Y38" s="65" t="str">
        <f aca="false">IF($C38="","",ROUNDDOWN(N(X38)*0.1,-1))</f>
        <v/>
      </c>
      <c r="Z38" s="65" t="str">
        <f aca="false">IF($C38="","",T38+U38+V38+W38+N(X38)+Y38)</f>
        <v/>
      </c>
      <c r="AA38" s="68" t="str">
        <f aca="false">IF($C38="","",R38-Z38)</f>
        <v/>
      </c>
      <c r="AB38" s="65" t="str">
        <f aca="false">IF($C38="","",IF(IFERROR(INDEX(직원명단!$F$7:$F$36,MATCH($C38,직원명단!$B$7:$B$36,0)),"N")="Y",ROUNDDOWN(ROUNDDOWN(MIN(MAX(S38,설정!$C$11),설정!$C$12),-3)*설정!$C$10,-1),0))</f>
        <v/>
      </c>
      <c r="AC38" s="65" t="str">
        <f aca="false">IF($C38="","",U38+V38)</f>
        <v/>
      </c>
      <c r="AD38" s="65" t="str">
        <f aca="false">IF($C38="","",IF(IFERROR(INDEX(직원명단!$H$7:$H$36,MATCH($C38,직원명단!$B$7:$B$36,0)),"N")="Y",ROUNDDOWN(S38*설정!$C$16,-1),0))</f>
        <v/>
      </c>
      <c r="AE38" s="65" t="str">
        <f aca="false">IF($C38="","",ROUNDDOWN(S38*설정!$C$17,-1))</f>
        <v/>
      </c>
      <c r="AF38" s="65" t="str">
        <f aca="false">IF($C38="","",IF(E38&gt;=15,ROUND(R38/12,0),0))</f>
        <v/>
      </c>
      <c r="AG38" s="69" t="str">
        <f aca="false">IF($C38="","",R38+AB38+AC38+AD38+AE38+AF38)</f>
        <v/>
      </c>
      <c r="AH38" s="6"/>
    </row>
    <row r="39" customFormat="false" ht="19.5" hidden="false" customHeight="true" outlineLevel="0" collapsed="false">
      <c r="A39" s="6"/>
      <c r="B39" s="70" t="str">
        <f aca="false">IF($C39="","",26)</f>
        <v/>
      </c>
      <c r="C39" s="37"/>
      <c r="D39" s="71" t="str">
        <f aca="false">IF($C39="","",IFERROR(INDEX(직원명단!$C$7:$C$36,MATCH($C39,직원명단!$B$7:$B$36,0)),"명단없음"))</f>
        <v/>
      </c>
      <c r="E39" s="72" t="str">
        <f aca="false">IF($C39="","",IFERROR(INDEX(직원명단!$D$7:$D$36,MATCH($C39,직원명단!$B$7:$B$36,0)),0))</f>
        <v/>
      </c>
      <c r="F39" s="64"/>
      <c r="G39" s="64"/>
      <c r="H39" s="64"/>
      <c r="I39" s="64"/>
      <c r="J39" s="64"/>
      <c r="K39" s="64"/>
      <c r="L39" s="73" t="str">
        <f aca="false">IF($C39="","",ROUND(D39*F39,0))</f>
        <v/>
      </c>
      <c r="M39" s="73" t="str">
        <f aca="false">IF($C39="","",IF(E39&gt;=15,ROUND(MIN(E39,40)/40*8*D39*G39,0),0))</f>
        <v/>
      </c>
      <c r="N39" s="73" t="str">
        <f aca="false">IF($C39="","",ROUND(H39*D39*IF((설정!$C$7="예"),1.5,1),0))</f>
        <v/>
      </c>
      <c r="O39" s="73" t="str">
        <f aca="false">IF($C39="","",ROUND(I39*D39*IF((설정!$C$7="예"),0.5,0),0))</f>
        <v/>
      </c>
      <c r="P39" s="73" t="str">
        <f aca="false">IF($C39="","",ROUND(J39*D39*IF((설정!$C$7="예"),1.5,1)+K39*D39*IF((설정!$C$7="예"),2,1),0))</f>
        <v/>
      </c>
      <c r="Q39" s="71" t="str">
        <f aca="false">IF($C39="","",IFERROR(N(INDEX(직원명단!$I$7:$I$36,MATCH($C39,직원명단!$B$7:$B$36,0))),0))</f>
        <v/>
      </c>
      <c r="R39" s="74" t="str">
        <f aca="false">IF($C39="","",SUM(L39:Q39))</f>
        <v/>
      </c>
      <c r="S39" s="73" t="str">
        <f aca="false">IF($C39="","",R39-MIN(Q39,설정!$C$18))</f>
        <v/>
      </c>
      <c r="T39" s="73" t="str">
        <f aca="false">IF($C39="","",IF(IFERROR(INDEX(직원명단!$F$7:$F$36,MATCH($C39,직원명단!$B$7:$B$36,0)),"N")="Y",ROUNDDOWN(ROUNDDOWN(MIN(MAX(S39,설정!$C$11),설정!$C$12),-3)*설정!$C$9,-1),0))</f>
        <v/>
      </c>
      <c r="U39" s="73" t="str">
        <f aca="false">IF($C39="","",IF(IFERROR(INDEX(직원명단!$G$7:$G$36,MATCH($C39,직원명단!$B$7:$B$36,0)),"N")="Y",ROUNDDOWN(S39*설정!$C$13,-1),0))</f>
        <v/>
      </c>
      <c r="V39" s="73" t="str">
        <f aca="false">IF($C39="","",ROUNDDOWN(U39*설정!$C$14,-1))</f>
        <v/>
      </c>
      <c r="W39" s="73" t="str">
        <f aca="false">IF($C39="","",IF(IFERROR(INDEX(직원명단!$H$7:$H$36,MATCH($C39,직원명단!$B$7:$B$36,0)),"N")="Y",ROUNDDOWN(S39*설정!$C$15,-1),0))</f>
        <v/>
      </c>
      <c r="X39" s="67"/>
      <c r="Y39" s="73" t="str">
        <f aca="false">IF($C39="","",ROUNDDOWN(N(X39)*0.1,-1))</f>
        <v/>
      </c>
      <c r="Z39" s="73" t="str">
        <f aca="false">IF($C39="","",T39+U39+V39+W39+N(X39)+Y39)</f>
        <v/>
      </c>
      <c r="AA39" s="75" t="str">
        <f aca="false">IF($C39="","",R39-Z39)</f>
        <v/>
      </c>
      <c r="AB39" s="73" t="str">
        <f aca="false">IF($C39="","",IF(IFERROR(INDEX(직원명단!$F$7:$F$36,MATCH($C39,직원명단!$B$7:$B$36,0)),"N")="Y",ROUNDDOWN(ROUNDDOWN(MIN(MAX(S39,설정!$C$11),설정!$C$12),-3)*설정!$C$10,-1),0))</f>
        <v/>
      </c>
      <c r="AC39" s="73" t="str">
        <f aca="false">IF($C39="","",U39+V39)</f>
        <v/>
      </c>
      <c r="AD39" s="73" t="str">
        <f aca="false">IF($C39="","",IF(IFERROR(INDEX(직원명단!$H$7:$H$36,MATCH($C39,직원명단!$B$7:$B$36,0)),"N")="Y",ROUNDDOWN(S39*설정!$C$16,-1),0))</f>
        <v/>
      </c>
      <c r="AE39" s="73" t="str">
        <f aca="false">IF($C39="","",ROUNDDOWN(S39*설정!$C$17,-1))</f>
        <v/>
      </c>
      <c r="AF39" s="73" t="str">
        <f aca="false">IF($C39="","",IF(E39&gt;=15,ROUND(R39/12,0),0))</f>
        <v/>
      </c>
      <c r="AG39" s="76" t="str">
        <f aca="false">IF($C39="","",R39+AB39+AC39+AD39+AE39+AF39)</f>
        <v/>
      </c>
      <c r="AH39" s="6"/>
    </row>
    <row r="40" customFormat="false" ht="19.5" hidden="false" customHeight="true" outlineLevel="0" collapsed="false">
      <c r="A40" s="6"/>
      <c r="B40" s="61" t="str">
        <f aca="false">IF($C40="","",27)</f>
        <v/>
      </c>
      <c r="C40" s="37"/>
      <c r="D40" s="62" t="str">
        <f aca="false">IF($C40="","",IFERROR(INDEX(직원명단!$C$7:$C$36,MATCH($C40,직원명단!$B$7:$B$36,0)),"명단없음"))</f>
        <v/>
      </c>
      <c r="E40" s="63" t="str">
        <f aca="false">IF($C40="","",IFERROR(INDEX(직원명단!$D$7:$D$36,MATCH($C40,직원명단!$B$7:$B$36,0)),0))</f>
        <v/>
      </c>
      <c r="F40" s="64"/>
      <c r="G40" s="64"/>
      <c r="H40" s="64"/>
      <c r="I40" s="64"/>
      <c r="J40" s="64"/>
      <c r="K40" s="64"/>
      <c r="L40" s="65" t="str">
        <f aca="false">IF($C40="","",ROUND(D40*F40,0))</f>
        <v/>
      </c>
      <c r="M40" s="65" t="str">
        <f aca="false">IF($C40="","",IF(E40&gt;=15,ROUND(MIN(E40,40)/40*8*D40*G40,0),0))</f>
        <v/>
      </c>
      <c r="N40" s="65" t="str">
        <f aca="false">IF($C40="","",ROUND(H40*D40*IF((설정!$C$7="예"),1.5,1),0))</f>
        <v/>
      </c>
      <c r="O40" s="65" t="str">
        <f aca="false">IF($C40="","",ROUND(I40*D40*IF((설정!$C$7="예"),0.5,0),0))</f>
        <v/>
      </c>
      <c r="P40" s="65" t="str">
        <f aca="false">IF($C40="","",ROUND(J40*D40*IF((설정!$C$7="예"),1.5,1)+K40*D40*IF((설정!$C$7="예"),2,1),0))</f>
        <v/>
      </c>
      <c r="Q40" s="62" t="str">
        <f aca="false">IF($C40="","",IFERROR(N(INDEX(직원명단!$I$7:$I$36,MATCH($C40,직원명단!$B$7:$B$36,0))),0))</f>
        <v/>
      </c>
      <c r="R40" s="66" t="str">
        <f aca="false">IF($C40="","",SUM(L40:Q40))</f>
        <v/>
      </c>
      <c r="S40" s="65" t="str">
        <f aca="false">IF($C40="","",R40-MIN(Q40,설정!$C$18))</f>
        <v/>
      </c>
      <c r="T40" s="65" t="str">
        <f aca="false">IF($C40="","",IF(IFERROR(INDEX(직원명단!$F$7:$F$36,MATCH($C40,직원명단!$B$7:$B$36,0)),"N")="Y",ROUNDDOWN(ROUNDDOWN(MIN(MAX(S40,설정!$C$11),설정!$C$12),-3)*설정!$C$9,-1),0))</f>
        <v/>
      </c>
      <c r="U40" s="65" t="str">
        <f aca="false">IF($C40="","",IF(IFERROR(INDEX(직원명단!$G$7:$G$36,MATCH($C40,직원명단!$B$7:$B$36,0)),"N")="Y",ROUNDDOWN(S40*설정!$C$13,-1),0))</f>
        <v/>
      </c>
      <c r="V40" s="65" t="str">
        <f aca="false">IF($C40="","",ROUNDDOWN(U40*설정!$C$14,-1))</f>
        <v/>
      </c>
      <c r="W40" s="65" t="str">
        <f aca="false">IF($C40="","",IF(IFERROR(INDEX(직원명단!$H$7:$H$36,MATCH($C40,직원명단!$B$7:$B$36,0)),"N")="Y",ROUNDDOWN(S40*설정!$C$15,-1),0))</f>
        <v/>
      </c>
      <c r="X40" s="67"/>
      <c r="Y40" s="65" t="str">
        <f aca="false">IF($C40="","",ROUNDDOWN(N(X40)*0.1,-1))</f>
        <v/>
      </c>
      <c r="Z40" s="65" t="str">
        <f aca="false">IF($C40="","",T40+U40+V40+W40+N(X40)+Y40)</f>
        <v/>
      </c>
      <c r="AA40" s="68" t="str">
        <f aca="false">IF($C40="","",R40-Z40)</f>
        <v/>
      </c>
      <c r="AB40" s="65" t="str">
        <f aca="false">IF($C40="","",IF(IFERROR(INDEX(직원명단!$F$7:$F$36,MATCH($C40,직원명단!$B$7:$B$36,0)),"N")="Y",ROUNDDOWN(ROUNDDOWN(MIN(MAX(S40,설정!$C$11),설정!$C$12),-3)*설정!$C$10,-1),0))</f>
        <v/>
      </c>
      <c r="AC40" s="65" t="str">
        <f aca="false">IF($C40="","",U40+V40)</f>
        <v/>
      </c>
      <c r="AD40" s="65" t="str">
        <f aca="false">IF($C40="","",IF(IFERROR(INDEX(직원명단!$H$7:$H$36,MATCH($C40,직원명단!$B$7:$B$36,0)),"N")="Y",ROUNDDOWN(S40*설정!$C$16,-1),0))</f>
        <v/>
      </c>
      <c r="AE40" s="65" t="str">
        <f aca="false">IF($C40="","",ROUNDDOWN(S40*설정!$C$17,-1))</f>
        <v/>
      </c>
      <c r="AF40" s="65" t="str">
        <f aca="false">IF($C40="","",IF(E40&gt;=15,ROUND(R40/12,0),0))</f>
        <v/>
      </c>
      <c r="AG40" s="69" t="str">
        <f aca="false">IF($C40="","",R40+AB40+AC40+AD40+AE40+AF40)</f>
        <v/>
      </c>
      <c r="AH40" s="6"/>
    </row>
    <row r="41" customFormat="false" ht="19.5" hidden="false" customHeight="true" outlineLevel="0" collapsed="false">
      <c r="A41" s="6"/>
      <c r="B41" s="70" t="str">
        <f aca="false">IF($C41="","",28)</f>
        <v/>
      </c>
      <c r="C41" s="37"/>
      <c r="D41" s="71" t="str">
        <f aca="false">IF($C41="","",IFERROR(INDEX(직원명단!$C$7:$C$36,MATCH($C41,직원명단!$B$7:$B$36,0)),"명단없음"))</f>
        <v/>
      </c>
      <c r="E41" s="72" t="str">
        <f aca="false">IF($C41="","",IFERROR(INDEX(직원명단!$D$7:$D$36,MATCH($C41,직원명단!$B$7:$B$36,0)),0))</f>
        <v/>
      </c>
      <c r="F41" s="64"/>
      <c r="G41" s="64"/>
      <c r="H41" s="64"/>
      <c r="I41" s="64"/>
      <c r="J41" s="64"/>
      <c r="K41" s="64"/>
      <c r="L41" s="73" t="str">
        <f aca="false">IF($C41="","",ROUND(D41*F41,0))</f>
        <v/>
      </c>
      <c r="M41" s="73" t="str">
        <f aca="false">IF($C41="","",IF(E41&gt;=15,ROUND(MIN(E41,40)/40*8*D41*G41,0),0))</f>
        <v/>
      </c>
      <c r="N41" s="73" t="str">
        <f aca="false">IF($C41="","",ROUND(H41*D41*IF((설정!$C$7="예"),1.5,1),0))</f>
        <v/>
      </c>
      <c r="O41" s="73" t="str">
        <f aca="false">IF($C41="","",ROUND(I41*D41*IF((설정!$C$7="예"),0.5,0),0))</f>
        <v/>
      </c>
      <c r="P41" s="73" t="str">
        <f aca="false">IF($C41="","",ROUND(J41*D41*IF((설정!$C$7="예"),1.5,1)+K41*D41*IF((설정!$C$7="예"),2,1),0))</f>
        <v/>
      </c>
      <c r="Q41" s="71" t="str">
        <f aca="false">IF($C41="","",IFERROR(N(INDEX(직원명단!$I$7:$I$36,MATCH($C41,직원명단!$B$7:$B$36,0))),0))</f>
        <v/>
      </c>
      <c r="R41" s="74" t="str">
        <f aca="false">IF($C41="","",SUM(L41:Q41))</f>
        <v/>
      </c>
      <c r="S41" s="73" t="str">
        <f aca="false">IF($C41="","",R41-MIN(Q41,설정!$C$18))</f>
        <v/>
      </c>
      <c r="T41" s="73" t="str">
        <f aca="false">IF($C41="","",IF(IFERROR(INDEX(직원명단!$F$7:$F$36,MATCH($C41,직원명단!$B$7:$B$36,0)),"N")="Y",ROUNDDOWN(ROUNDDOWN(MIN(MAX(S41,설정!$C$11),설정!$C$12),-3)*설정!$C$9,-1),0))</f>
        <v/>
      </c>
      <c r="U41" s="73" t="str">
        <f aca="false">IF($C41="","",IF(IFERROR(INDEX(직원명단!$G$7:$G$36,MATCH($C41,직원명단!$B$7:$B$36,0)),"N")="Y",ROUNDDOWN(S41*설정!$C$13,-1),0))</f>
        <v/>
      </c>
      <c r="V41" s="73" t="str">
        <f aca="false">IF($C41="","",ROUNDDOWN(U41*설정!$C$14,-1))</f>
        <v/>
      </c>
      <c r="W41" s="73" t="str">
        <f aca="false">IF($C41="","",IF(IFERROR(INDEX(직원명단!$H$7:$H$36,MATCH($C41,직원명단!$B$7:$B$36,0)),"N")="Y",ROUNDDOWN(S41*설정!$C$15,-1),0))</f>
        <v/>
      </c>
      <c r="X41" s="67"/>
      <c r="Y41" s="73" t="str">
        <f aca="false">IF($C41="","",ROUNDDOWN(N(X41)*0.1,-1))</f>
        <v/>
      </c>
      <c r="Z41" s="73" t="str">
        <f aca="false">IF($C41="","",T41+U41+V41+W41+N(X41)+Y41)</f>
        <v/>
      </c>
      <c r="AA41" s="75" t="str">
        <f aca="false">IF($C41="","",R41-Z41)</f>
        <v/>
      </c>
      <c r="AB41" s="73" t="str">
        <f aca="false">IF($C41="","",IF(IFERROR(INDEX(직원명단!$F$7:$F$36,MATCH($C41,직원명단!$B$7:$B$36,0)),"N")="Y",ROUNDDOWN(ROUNDDOWN(MIN(MAX(S41,설정!$C$11),설정!$C$12),-3)*설정!$C$10,-1),0))</f>
        <v/>
      </c>
      <c r="AC41" s="73" t="str">
        <f aca="false">IF($C41="","",U41+V41)</f>
        <v/>
      </c>
      <c r="AD41" s="73" t="str">
        <f aca="false">IF($C41="","",IF(IFERROR(INDEX(직원명단!$H$7:$H$36,MATCH($C41,직원명단!$B$7:$B$36,0)),"N")="Y",ROUNDDOWN(S41*설정!$C$16,-1),0))</f>
        <v/>
      </c>
      <c r="AE41" s="73" t="str">
        <f aca="false">IF($C41="","",ROUNDDOWN(S41*설정!$C$17,-1))</f>
        <v/>
      </c>
      <c r="AF41" s="73" t="str">
        <f aca="false">IF($C41="","",IF(E41&gt;=15,ROUND(R41/12,0),0))</f>
        <v/>
      </c>
      <c r="AG41" s="76" t="str">
        <f aca="false">IF($C41="","",R41+AB41+AC41+AD41+AE41+AF41)</f>
        <v/>
      </c>
      <c r="AH41" s="6"/>
    </row>
    <row r="42" customFormat="false" ht="19.5" hidden="false" customHeight="true" outlineLevel="0" collapsed="false">
      <c r="A42" s="6"/>
      <c r="B42" s="61" t="str">
        <f aca="false">IF($C42="","",29)</f>
        <v/>
      </c>
      <c r="C42" s="37"/>
      <c r="D42" s="62" t="str">
        <f aca="false">IF($C42="","",IFERROR(INDEX(직원명단!$C$7:$C$36,MATCH($C42,직원명단!$B$7:$B$36,0)),"명단없음"))</f>
        <v/>
      </c>
      <c r="E42" s="63" t="str">
        <f aca="false">IF($C42="","",IFERROR(INDEX(직원명단!$D$7:$D$36,MATCH($C42,직원명단!$B$7:$B$36,0)),0))</f>
        <v/>
      </c>
      <c r="F42" s="64"/>
      <c r="G42" s="64"/>
      <c r="H42" s="64"/>
      <c r="I42" s="64"/>
      <c r="J42" s="64"/>
      <c r="K42" s="64"/>
      <c r="L42" s="65" t="str">
        <f aca="false">IF($C42="","",ROUND(D42*F42,0))</f>
        <v/>
      </c>
      <c r="M42" s="65" t="str">
        <f aca="false">IF($C42="","",IF(E42&gt;=15,ROUND(MIN(E42,40)/40*8*D42*G42,0),0))</f>
        <v/>
      </c>
      <c r="N42" s="65" t="str">
        <f aca="false">IF($C42="","",ROUND(H42*D42*IF((설정!$C$7="예"),1.5,1),0))</f>
        <v/>
      </c>
      <c r="O42" s="65" t="str">
        <f aca="false">IF($C42="","",ROUND(I42*D42*IF((설정!$C$7="예"),0.5,0),0))</f>
        <v/>
      </c>
      <c r="P42" s="65" t="str">
        <f aca="false">IF($C42="","",ROUND(J42*D42*IF((설정!$C$7="예"),1.5,1)+K42*D42*IF((설정!$C$7="예"),2,1),0))</f>
        <v/>
      </c>
      <c r="Q42" s="62" t="str">
        <f aca="false">IF($C42="","",IFERROR(N(INDEX(직원명단!$I$7:$I$36,MATCH($C42,직원명단!$B$7:$B$36,0))),0))</f>
        <v/>
      </c>
      <c r="R42" s="66" t="str">
        <f aca="false">IF($C42="","",SUM(L42:Q42))</f>
        <v/>
      </c>
      <c r="S42" s="65" t="str">
        <f aca="false">IF($C42="","",R42-MIN(Q42,설정!$C$18))</f>
        <v/>
      </c>
      <c r="T42" s="65" t="str">
        <f aca="false">IF($C42="","",IF(IFERROR(INDEX(직원명단!$F$7:$F$36,MATCH($C42,직원명단!$B$7:$B$36,0)),"N")="Y",ROUNDDOWN(ROUNDDOWN(MIN(MAX(S42,설정!$C$11),설정!$C$12),-3)*설정!$C$9,-1),0))</f>
        <v/>
      </c>
      <c r="U42" s="65" t="str">
        <f aca="false">IF($C42="","",IF(IFERROR(INDEX(직원명단!$G$7:$G$36,MATCH($C42,직원명단!$B$7:$B$36,0)),"N")="Y",ROUNDDOWN(S42*설정!$C$13,-1),0))</f>
        <v/>
      </c>
      <c r="V42" s="65" t="str">
        <f aca="false">IF($C42="","",ROUNDDOWN(U42*설정!$C$14,-1))</f>
        <v/>
      </c>
      <c r="W42" s="65" t="str">
        <f aca="false">IF($C42="","",IF(IFERROR(INDEX(직원명단!$H$7:$H$36,MATCH($C42,직원명단!$B$7:$B$36,0)),"N")="Y",ROUNDDOWN(S42*설정!$C$15,-1),0))</f>
        <v/>
      </c>
      <c r="X42" s="67"/>
      <c r="Y42" s="65" t="str">
        <f aca="false">IF($C42="","",ROUNDDOWN(N(X42)*0.1,-1))</f>
        <v/>
      </c>
      <c r="Z42" s="65" t="str">
        <f aca="false">IF($C42="","",T42+U42+V42+W42+N(X42)+Y42)</f>
        <v/>
      </c>
      <c r="AA42" s="68" t="str">
        <f aca="false">IF($C42="","",R42-Z42)</f>
        <v/>
      </c>
      <c r="AB42" s="65" t="str">
        <f aca="false">IF($C42="","",IF(IFERROR(INDEX(직원명단!$F$7:$F$36,MATCH($C42,직원명단!$B$7:$B$36,0)),"N")="Y",ROUNDDOWN(ROUNDDOWN(MIN(MAX(S42,설정!$C$11),설정!$C$12),-3)*설정!$C$10,-1),0))</f>
        <v/>
      </c>
      <c r="AC42" s="65" t="str">
        <f aca="false">IF($C42="","",U42+V42)</f>
        <v/>
      </c>
      <c r="AD42" s="65" t="str">
        <f aca="false">IF($C42="","",IF(IFERROR(INDEX(직원명단!$H$7:$H$36,MATCH($C42,직원명단!$B$7:$B$36,0)),"N")="Y",ROUNDDOWN(S42*설정!$C$16,-1),0))</f>
        <v/>
      </c>
      <c r="AE42" s="65" t="str">
        <f aca="false">IF($C42="","",ROUNDDOWN(S42*설정!$C$17,-1))</f>
        <v/>
      </c>
      <c r="AF42" s="65" t="str">
        <f aca="false">IF($C42="","",IF(E42&gt;=15,ROUND(R42/12,0),0))</f>
        <v/>
      </c>
      <c r="AG42" s="69" t="str">
        <f aca="false">IF($C42="","",R42+AB42+AC42+AD42+AE42+AF42)</f>
        <v/>
      </c>
      <c r="AH42" s="6"/>
    </row>
    <row r="43" customFormat="false" ht="19.5" hidden="false" customHeight="true" outlineLevel="0" collapsed="false">
      <c r="A43" s="6"/>
      <c r="B43" s="70" t="str">
        <f aca="false">IF($C43="","",30)</f>
        <v/>
      </c>
      <c r="C43" s="37"/>
      <c r="D43" s="71" t="str">
        <f aca="false">IF($C43="","",IFERROR(INDEX(직원명단!$C$7:$C$36,MATCH($C43,직원명단!$B$7:$B$36,0)),"명단없음"))</f>
        <v/>
      </c>
      <c r="E43" s="72" t="str">
        <f aca="false">IF($C43="","",IFERROR(INDEX(직원명단!$D$7:$D$36,MATCH($C43,직원명단!$B$7:$B$36,0)),0))</f>
        <v/>
      </c>
      <c r="F43" s="64"/>
      <c r="G43" s="64"/>
      <c r="H43" s="64"/>
      <c r="I43" s="64"/>
      <c r="J43" s="64"/>
      <c r="K43" s="64"/>
      <c r="L43" s="73" t="str">
        <f aca="false">IF($C43="","",ROUND(D43*F43,0))</f>
        <v/>
      </c>
      <c r="M43" s="73" t="str">
        <f aca="false">IF($C43="","",IF(E43&gt;=15,ROUND(MIN(E43,40)/40*8*D43*G43,0),0))</f>
        <v/>
      </c>
      <c r="N43" s="73" t="str">
        <f aca="false">IF($C43="","",ROUND(H43*D43*IF((설정!$C$7="예"),1.5,1),0))</f>
        <v/>
      </c>
      <c r="O43" s="73" t="str">
        <f aca="false">IF($C43="","",ROUND(I43*D43*IF((설정!$C$7="예"),0.5,0),0))</f>
        <v/>
      </c>
      <c r="P43" s="73" t="str">
        <f aca="false">IF($C43="","",ROUND(J43*D43*IF((설정!$C$7="예"),1.5,1)+K43*D43*IF((설정!$C$7="예"),2,1),0))</f>
        <v/>
      </c>
      <c r="Q43" s="71" t="str">
        <f aca="false">IF($C43="","",IFERROR(N(INDEX(직원명단!$I$7:$I$36,MATCH($C43,직원명단!$B$7:$B$36,0))),0))</f>
        <v/>
      </c>
      <c r="R43" s="74" t="str">
        <f aca="false">IF($C43="","",SUM(L43:Q43))</f>
        <v/>
      </c>
      <c r="S43" s="73" t="str">
        <f aca="false">IF($C43="","",R43-MIN(Q43,설정!$C$18))</f>
        <v/>
      </c>
      <c r="T43" s="73" t="str">
        <f aca="false">IF($C43="","",IF(IFERROR(INDEX(직원명단!$F$7:$F$36,MATCH($C43,직원명단!$B$7:$B$36,0)),"N")="Y",ROUNDDOWN(ROUNDDOWN(MIN(MAX(S43,설정!$C$11),설정!$C$12),-3)*설정!$C$9,-1),0))</f>
        <v/>
      </c>
      <c r="U43" s="73" t="str">
        <f aca="false">IF($C43="","",IF(IFERROR(INDEX(직원명단!$G$7:$G$36,MATCH($C43,직원명단!$B$7:$B$36,0)),"N")="Y",ROUNDDOWN(S43*설정!$C$13,-1),0))</f>
        <v/>
      </c>
      <c r="V43" s="73" t="str">
        <f aca="false">IF($C43="","",ROUNDDOWN(U43*설정!$C$14,-1))</f>
        <v/>
      </c>
      <c r="W43" s="73" t="str">
        <f aca="false">IF($C43="","",IF(IFERROR(INDEX(직원명단!$H$7:$H$36,MATCH($C43,직원명단!$B$7:$B$36,0)),"N")="Y",ROUNDDOWN(S43*설정!$C$15,-1),0))</f>
        <v/>
      </c>
      <c r="X43" s="67"/>
      <c r="Y43" s="73" t="str">
        <f aca="false">IF($C43="","",ROUNDDOWN(N(X43)*0.1,-1))</f>
        <v/>
      </c>
      <c r="Z43" s="73" t="str">
        <f aca="false">IF($C43="","",T43+U43+V43+W43+N(X43)+Y43)</f>
        <v/>
      </c>
      <c r="AA43" s="75" t="str">
        <f aca="false">IF($C43="","",R43-Z43)</f>
        <v/>
      </c>
      <c r="AB43" s="73" t="str">
        <f aca="false">IF($C43="","",IF(IFERROR(INDEX(직원명단!$F$7:$F$36,MATCH($C43,직원명단!$B$7:$B$36,0)),"N")="Y",ROUNDDOWN(ROUNDDOWN(MIN(MAX(S43,설정!$C$11),설정!$C$12),-3)*설정!$C$10,-1),0))</f>
        <v/>
      </c>
      <c r="AC43" s="73" t="str">
        <f aca="false">IF($C43="","",U43+V43)</f>
        <v/>
      </c>
      <c r="AD43" s="73" t="str">
        <f aca="false">IF($C43="","",IF(IFERROR(INDEX(직원명단!$H$7:$H$36,MATCH($C43,직원명단!$B$7:$B$36,0)),"N")="Y",ROUNDDOWN(S43*설정!$C$16,-1),0))</f>
        <v/>
      </c>
      <c r="AE43" s="73" t="str">
        <f aca="false">IF($C43="","",ROUNDDOWN(S43*설정!$C$17,-1))</f>
        <v/>
      </c>
      <c r="AF43" s="73" t="str">
        <f aca="false">IF($C43="","",IF(E43&gt;=15,ROUND(R43/12,0),0))</f>
        <v/>
      </c>
      <c r="AG43" s="76" t="str">
        <f aca="false">IF($C43="","",R43+AB43+AC43+AD43+AE43+AF43)</f>
        <v/>
      </c>
      <c r="AH43" s="6"/>
    </row>
    <row r="44" customFormat="false" ht="24" hidden="false" customHeight="true" outlineLevel="0" collapsed="false">
      <c r="A44" s="6"/>
      <c r="B44" s="77"/>
      <c r="C44" s="78" t="s">
        <v>124</v>
      </c>
      <c r="D44" s="77"/>
      <c r="E44" s="77"/>
      <c r="F44" s="79" t="n">
        <f aca="false">SUM(F14:F43)</f>
        <v>254</v>
      </c>
      <c r="G44" s="77"/>
      <c r="H44" s="79" t="n">
        <f aca="false">SUM(H14:H43)</f>
        <v>4</v>
      </c>
      <c r="I44" s="79" t="n">
        <f aca="false">SUM(I14:I43)</f>
        <v>0</v>
      </c>
      <c r="J44" s="79" t="n">
        <f aca="false">SUM(J14:J43)</f>
        <v>0</v>
      </c>
      <c r="K44" s="79" t="n">
        <f aca="false">SUM(K14:K43)</f>
        <v>0</v>
      </c>
      <c r="L44" s="80" t="n">
        <f aca="false">SUM(L14:L43)</f>
        <v>2735520</v>
      </c>
      <c r="M44" s="80" t="n">
        <f aca="false">SUM(M14:M43)</f>
        <v>517120</v>
      </c>
      <c r="N44" s="80" t="n">
        <f aca="false">SUM(N14:N43)</f>
        <v>44000</v>
      </c>
      <c r="O44" s="80" t="n">
        <f aca="false">SUM(O14:O43)</f>
        <v>0</v>
      </c>
      <c r="P44" s="80" t="n">
        <f aca="false">SUM(P14:P43)</f>
        <v>0</v>
      </c>
      <c r="Q44" s="80" t="n">
        <f aca="false">SUM(Q14:Q43)</f>
        <v>200000</v>
      </c>
      <c r="R44" s="80" t="n">
        <f aca="false">SUM(R14:R43)</f>
        <v>3496640</v>
      </c>
      <c r="S44" s="80" t="n">
        <f aca="false">SUM(S14:S43)</f>
        <v>3296640</v>
      </c>
      <c r="T44" s="80" t="n">
        <f aca="false">SUM(T14:T43)</f>
        <v>156560</v>
      </c>
      <c r="U44" s="80" t="n">
        <f aca="false">SUM(U14:U43)</f>
        <v>118510</v>
      </c>
      <c r="V44" s="80" t="n">
        <f aca="false">SUM(V14:V43)</f>
        <v>15570</v>
      </c>
      <c r="W44" s="80" t="n">
        <f aca="false">SUM(W14:W43)</f>
        <v>29660</v>
      </c>
      <c r="X44" s="80" t="n">
        <f aca="false">SUM(X14:X43)</f>
        <v>0</v>
      </c>
      <c r="Y44" s="80" t="n">
        <f aca="false">SUM(Y14:Y43)</f>
        <v>0</v>
      </c>
      <c r="Z44" s="80" t="n">
        <f aca="false">SUM(Z14:Z43)</f>
        <v>320300</v>
      </c>
      <c r="AA44" s="80" t="n">
        <f aca="false">SUM(AA14:AA43)</f>
        <v>3176340</v>
      </c>
      <c r="AB44" s="80" t="n">
        <f aca="false">SUM(AB14:AB43)</f>
        <v>156560</v>
      </c>
      <c r="AC44" s="80" t="n">
        <f aca="false">SUM(AC14:AC43)</f>
        <v>134080</v>
      </c>
      <c r="AD44" s="80" t="n">
        <f aca="false">SUM(AD14:AD43)</f>
        <v>37900</v>
      </c>
      <c r="AE44" s="80" t="n">
        <f aca="false">SUM(AE14:AE43)</f>
        <v>48450</v>
      </c>
      <c r="AF44" s="80" t="n">
        <f aca="false">SUM(AF14:AF43)</f>
        <v>291387</v>
      </c>
      <c r="AG44" s="80" t="n">
        <f aca="false">SUM(AG14:AG43)</f>
        <v>4165017</v>
      </c>
      <c r="AH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</sheetData>
  <mergeCells count="19">
    <mergeCell ref="B6:C6"/>
    <mergeCell ref="D6:E6"/>
    <mergeCell ref="G6:H6"/>
    <mergeCell ref="I6:N6"/>
    <mergeCell ref="AA6:AF6"/>
    <mergeCell ref="B8:F8"/>
    <mergeCell ref="H8:L8"/>
    <mergeCell ref="N8:R8"/>
    <mergeCell ref="T8:Z8"/>
    <mergeCell ref="B9:F10"/>
    <mergeCell ref="H9:L10"/>
    <mergeCell ref="N9:R10"/>
    <mergeCell ref="T9:Z10"/>
    <mergeCell ref="B12:C12"/>
    <mergeCell ref="D12:E12"/>
    <mergeCell ref="F12:K12"/>
    <mergeCell ref="L12:S12"/>
    <mergeCell ref="T12:AA12"/>
    <mergeCell ref="AB12:AG12"/>
  </mergeCells>
  <dataValidations count="1">
    <dataValidation allowBlank="true" errorStyle="stop" operator="between" showDropDown="false" showErrorMessage="false" showInputMessage="false" sqref="C14:C43" type="list">
      <formula1>직원명단!$B$7:$B$36</formula1>
      <formula2>0</formula2>
    </dataValidation>
  </dataValidations>
  <hyperlinks>
    <hyperlink ref="AA6" r:id="rId2" display="▶ 퇴직금·지원사업은 사장님계산기 ceoc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7B45"/>
    <pageSetUpPr fitToPage="tru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17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6" min="6" style="0" width="17"/>
    <col collapsed="false" customWidth="true" hidden="false" outlineLevel="0" max="8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6"/>
    </row>
    <row r="2" customFormat="false" ht="37.5" hidden="false" customHeight="true" outlineLevel="0" collapsed="false">
      <c r="A2" s="2"/>
      <c r="B2" s="3" t="s">
        <v>125</v>
      </c>
      <c r="C2" s="2"/>
      <c r="D2" s="2"/>
      <c r="E2" s="2"/>
      <c r="F2" s="2"/>
      <c r="G2" s="2"/>
      <c r="H2" s="6"/>
    </row>
    <row r="3" customFormat="false" ht="21.75" hidden="false" customHeight="true" outlineLevel="0" collapsed="false">
      <c r="A3" s="2"/>
      <c r="B3" s="4" t="str">
        <f aca="false">급여대장!$D$6&amp;" 귀속분"</f>
        <v>2026-11 귀속분</v>
      </c>
      <c r="C3" s="2"/>
      <c r="D3" s="2"/>
      <c r="E3" s="2"/>
      <c r="F3" s="2"/>
      <c r="G3" s="2"/>
      <c r="H3" s="6"/>
    </row>
    <row r="4" customFormat="false" ht="7.5" hidden="false" customHeight="true" outlineLevel="0" collapsed="false">
      <c r="A4" s="5"/>
      <c r="B4" s="5"/>
      <c r="C4" s="5"/>
      <c r="D4" s="5"/>
      <c r="E4" s="5"/>
      <c r="F4" s="5"/>
      <c r="G4" s="5"/>
      <c r="H4" s="6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</row>
    <row r="6" customFormat="false" ht="21.75" hidden="false" customHeight="true" outlineLevel="0" collapsed="false">
      <c r="A6" s="6"/>
      <c r="B6" s="81" t="s">
        <v>126</v>
      </c>
      <c r="C6" s="82"/>
      <c r="D6" s="83"/>
      <c r="E6" s="84" t="s">
        <v>127</v>
      </c>
      <c r="F6" s="85" t="str">
        <f aca="false">$F$12</f>
        <v>김알바</v>
      </c>
      <c r="G6" s="6"/>
      <c r="H6" s="6"/>
    </row>
    <row r="7" customFormat="false" ht="21.75" hidden="false" customHeight="true" outlineLevel="0" collapsed="false">
      <c r="A7" s="6"/>
      <c r="B7" s="86" t="s">
        <v>86</v>
      </c>
      <c r="C7" s="87" t="str">
        <f aca="false">급여대장!$D$6</f>
        <v>2026-11</v>
      </c>
      <c r="D7" s="88"/>
      <c r="E7" s="89" t="s">
        <v>100</v>
      </c>
      <c r="F7" s="90" t="n">
        <f aca="false">IFERROR(INDEX(급여대장!$D$14:$D$43,MATCH($F$12,급여대장!$C$14:$C$43,0)),0)</f>
        <v>10320</v>
      </c>
      <c r="G7" s="6"/>
      <c r="H7" s="6"/>
    </row>
    <row r="8" customFormat="false" ht="21.75" hidden="false" customHeight="true" outlineLevel="0" collapsed="false">
      <c r="A8" s="6"/>
      <c r="B8" s="86" t="s">
        <v>128</v>
      </c>
      <c r="C8" s="91"/>
      <c r="D8" s="88"/>
      <c r="E8" s="89" t="s">
        <v>129</v>
      </c>
      <c r="F8" s="92" t="n">
        <f aca="false">IFERROR(INDEX(급여대장!$E$14:$E$43,MATCH($F$12,급여대장!$C$14:$C$43,0)),0)</f>
        <v>20</v>
      </c>
      <c r="G8" s="6"/>
      <c r="H8" s="6"/>
    </row>
    <row r="9" customFormat="false" ht="21.75" hidden="false" customHeight="true" outlineLevel="0" collapsed="false">
      <c r="A9" s="6"/>
      <c r="B9" s="93" t="s">
        <v>130</v>
      </c>
      <c r="C9" s="94" t="n">
        <f aca="false">IFERROR(INDEX(급여대장!$F$14:$F$43,MATCH($F$12,급여대장!$C$14:$C$43,0)),0)</f>
        <v>86</v>
      </c>
      <c r="D9" s="95"/>
      <c r="E9" s="96" t="s">
        <v>131</v>
      </c>
      <c r="F9" s="97" t="n">
        <f aca="false">IFERROR(INDEX(급여대장!$G$14:$G$43,MATCH($F$12,급여대장!$C$14:$C$43,0)),0)</f>
        <v>4</v>
      </c>
      <c r="G9" s="6"/>
      <c r="H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</row>
    <row r="12" customFormat="false" ht="25.5" hidden="false" customHeight="true" outlineLevel="0" collapsed="false">
      <c r="A12" s="6"/>
      <c r="B12" s="98" t="s">
        <v>132</v>
      </c>
      <c r="C12" s="98"/>
      <c r="D12" s="98"/>
      <c r="E12" s="98"/>
      <c r="F12" s="43" t="s">
        <v>80</v>
      </c>
      <c r="G12" s="6"/>
      <c r="H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</row>
    <row r="14" customFormat="false" ht="25.5" hidden="false" customHeight="true" outlineLevel="0" collapsed="false">
      <c r="A14" s="6"/>
      <c r="B14" s="99" t="s">
        <v>133</v>
      </c>
      <c r="C14" s="99"/>
      <c r="D14" s="6"/>
      <c r="E14" s="100" t="s">
        <v>134</v>
      </c>
      <c r="F14" s="100"/>
      <c r="G14" s="6"/>
      <c r="H14" s="6"/>
    </row>
    <row r="15" customFormat="false" ht="21.75" hidden="false" customHeight="true" outlineLevel="0" collapsed="false">
      <c r="A15" s="6"/>
      <c r="B15" s="101" t="s">
        <v>107</v>
      </c>
      <c r="C15" s="102" t="n">
        <f aca="false">IFERROR(INDEX(급여대장!$L$14:$L$43,MATCH($F$12,급여대장!$C$14:$C$43,0)),0)</f>
        <v>887520</v>
      </c>
      <c r="D15" s="6"/>
      <c r="E15" s="101" t="s">
        <v>30</v>
      </c>
      <c r="F15" s="102" t="n">
        <f aca="false">IFERROR(INDEX(급여대장!$T$14:$T$43,MATCH($F$12,급여대장!$C$14:$C$43,0)),0)</f>
        <v>49970</v>
      </c>
      <c r="G15" s="6"/>
      <c r="H15" s="6"/>
    </row>
    <row r="16" customFormat="false" ht="21.75" hidden="false" customHeight="true" outlineLevel="0" collapsed="false">
      <c r="A16" s="6"/>
      <c r="B16" s="103" t="s">
        <v>28</v>
      </c>
      <c r="C16" s="104" t="n">
        <f aca="false">IFERROR(INDEX(급여대장!$M$14:$M$43,MATCH($F$12,급여대장!$C$14:$C$43,0)),0)</f>
        <v>165120</v>
      </c>
      <c r="D16" s="6"/>
      <c r="E16" s="103" t="s">
        <v>114</v>
      </c>
      <c r="F16" s="104" t="n">
        <f aca="false">IFERROR(INDEX(급여대장!$U$14:$U$43,MATCH($F$12,급여대장!$C$14:$C$43,0)),0)</f>
        <v>37840</v>
      </c>
      <c r="G16" s="6"/>
      <c r="H16" s="6"/>
    </row>
    <row r="17" customFormat="false" ht="21.75" hidden="false" customHeight="true" outlineLevel="0" collapsed="false">
      <c r="A17" s="6"/>
      <c r="B17" s="101" t="s">
        <v>135</v>
      </c>
      <c r="C17" s="102" t="n">
        <f aca="false">IFERROR(INDEX(급여대장!$N$14:$N$43,MATCH($F$12,급여대장!$C$14:$C$43,0)),0)</f>
        <v>0</v>
      </c>
      <c r="D17" s="6"/>
      <c r="E17" s="101" t="s">
        <v>136</v>
      </c>
      <c r="F17" s="102" t="n">
        <f aca="false">IFERROR(INDEX(급여대장!$V$14:$V$43,MATCH($F$12,급여대장!$C$14:$C$43,0)),0)</f>
        <v>4970</v>
      </c>
      <c r="G17" s="6"/>
      <c r="H17" s="6"/>
    </row>
    <row r="18" customFormat="false" ht="21.75" hidden="false" customHeight="true" outlineLevel="0" collapsed="false">
      <c r="A18" s="6"/>
      <c r="B18" s="103" t="s">
        <v>137</v>
      </c>
      <c r="C18" s="104" t="n">
        <f aca="false">IFERROR(INDEX(급여대장!$O$14:$O$43,MATCH($F$12,급여대장!$C$14:$C$43,0)),0)</f>
        <v>0</v>
      </c>
      <c r="D18" s="6"/>
      <c r="E18" s="103" t="s">
        <v>116</v>
      </c>
      <c r="F18" s="104" t="n">
        <f aca="false">IFERROR(INDEX(급여대장!$W$14:$W$43,MATCH($F$12,급여대장!$C$14:$C$43,0)),0)</f>
        <v>9470</v>
      </c>
      <c r="G18" s="6"/>
      <c r="H18" s="6"/>
    </row>
    <row r="19" customFormat="false" ht="21.75" hidden="false" customHeight="true" outlineLevel="0" collapsed="false">
      <c r="A19" s="6"/>
      <c r="B19" s="101" t="s">
        <v>138</v>
      </c>
      <c r="C19" s="102" t="n">
        <f aca="false">IFERROR(INDEX(급여대장!$P$14:$P$43,MATCH($F$12,급여대장!$C$14:$C$43,0)),0)</f>
        <v>0</v>
      </c>
      <c r="D19" s="6"/>
      <c r="E19" s="101" t="s">
        <v>11</v>
      </c>
      <c r="F19" s="102" t="n">
        <f aca="false">IFERROR(INDEX(급여대장!$X$14:$X$43,MATCH($F$12,급여대장!$C$14:$C$43,0)),0)</f>
        <v>0</v>
      </c>
      <c r="G19" s="6"/>
      <c r="H19" s="6"/>
    </row>
    <row r="20" customFormat="false" ht="21.75" hidden="false" customHeight="true" outlineLevel="0" collapsed="false">
      <c r="A20" s="6"/>
      <c r="B20" s="103" t="s">
        <v>139</v>
      </c>
      <c r="C20" s="104" t="n">
        <f aca="false">IFERROR(INDEX(급여대장!$Q$14:$Q$43,MATCH($F$12,급여대장!$C$14:$C$43,0)),0)</f>
        <v>0</v>
      </c>
      <c r="D20" s="6"/>
      <c r="E20" s="103" t="s">
        <v>140</v>
      </c>
      <c r="F20" s="104" t="n">
        <f aca="false">IFERROR(INDEX(급여대장!$Y$14:$Y$43,MATCH($F$12,급여대장!$C$14:$C$43,0)),0)</f>
        <v>0</v>
      </c>
      <c r="G20" s="6"/>
      <c r="H20" s="6"/>
    </row>
    <row r="21" customFormat="false" ht="25.5" hidden="false" customHeight="true" outlineLevel="0" collapsed="false">
      <c r="A21" s="6"/>
      <c r="B21" s="105" t="s">
        <v>141</v>
      </c>
      <c r="C21" s="106" t="n">
        <f aca="false">IFERROR(INDEX(급여대장!$R$14:$R$43,MATCH($F$12,급여대장!$C$14:$C$43,0)),0)</f>
        <v>1052640</v>
      </c>
      <c r="D21" s="6"/>
      <c r="E21" s="107" t="s">
        <v>142</v>
      </c>
      <c r="F21" s="108" t="n">
        <f aca="false">IFERROR(INDEX(급여대장!$Z$14:$Z$43,MATCH($F$12,급여대장!$C$14:$C$43,0)),0)</f>
        <v>102250</v>
      </c>
      <c r="G21" s="6"/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</row>
    <row r="23" customFormat="false" ht="24" hidden="false" customHeight="true" outlineLevel="0" collapsed="false">
      <c r="A23" s="6"/>
      <c r="B23" s="109" t="s">
        <v>119</v>
      </c>
      <c r="C23" s="109"/>
      <c r="D23" s="110"/>
      <c r="E23" s="111" t="n">
        <f aca="false">IFERROR(INDEX(급여대장!$AA$14:$AA$43,MATCH($F$12,급여대장!$C$14:$C$43,0)),0)</f>
        <v>950390</v>
      </c>
      <c r="F23" s="111"/>
      <c r="G23" s="6"/>
      <c r="H23" s="6"/>
    </row>
    <row r="24" customFormat="false" ht="24" hidden="false" customHeight="true" outlineLevel="0" collapsed="false">
      <c r="A24" s="6"/>
      <c r="B24" s="109"/>
      <c r="C24" s="109"/>
      <c r="D24" s="112"/>
      <c r="E24" s="111"/>
      <c r="F24" s="111"/>
      <c r="G24" s="6"/>
      <c r="H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</row>
    <row r="26" customFormat="false" ht="15" hidden="false" customHeight="false" outlineLevel="0" collapsed="false">
      <c r="A26" s="6"/>
      <c r="B26" s="113" t="s">
        <v>143</v>
      </c>
      <c r="C26" s="6"/>
      <c r="D26" s="6"/>
      <c r="E26" s="6"/>
      <c r="F26" s="6"/>
      <c r="G26" s="6"/>
      <c r="H26" s="6"/>
    </row>
    <row r="27" customFormat="false" ht="25.5" hidden="false" customHeight="true" outlineLevel="0" collapsed="false">
      <c r="A27" s="6"/>
      <c r="B27" s="114" t="str">
        <f aca="false">"· 기본급 = 시급 "&amp;TEXT(F7,"#,##0")&amp;"원 × 근무시간 "&amp;TEXT(C9,"0.0")&amp;"시간"</f>
        <v>· 기본급 = 시급 10,320원 × 근무시간 86.0시간</v>
      </c>
      <c r="C27" s="114"/>
      <c r="D27" s="114"/>
      <c r="E27" s="114"/>
      <c r="F27" s="114"/>
      <c r="G27" s="6"/>
      <c r="H27" s="6"/>
    </row>
    <row r="28" customFormat="false" ht="25.5" hidden="false" customHeight="true" outlineLevel="0" collapsed="false">
      <c r="A28" s="6"/>
      <c r="B28" s="115" t="str">
        <f aca="false">"· 주휴수당 = 주 소정근로시간 "&amp;TEXT(F8,"0.0")&amp;"시간 ÷ 40 × 8 × 시급 × 개근 "&amp;TEXT(F9,"0")&amp;"주 (주 15시간 이상)"</f>
        <v>· 주휴수당 = 주 소정근로시간 20.0시간 ÷ 40 × 8 × 시급 × 개근 4주 (주 15시간 이상)</v>
      </c>
      <c r="C28" s="115"/>
      <c r="D28" s="115"/>
      <c r="E28" s="115"/>
      <c r="F28" s="115"/>
      <c r="G28" s="6"/>
      <c r="H28" s="6"/>
    </row>
    <row r="29" customFormat="false" ht="25.5" hidden="false" customHeight="true" outlineLevel="0" collapsed="false">
      <c r="A29" s="6"/>
      <c r="B29" s="115" t="str">
        <f aca="false">"· 연장·휴일 = 시간 × 시급 × "&amp;IF(설정!$C$7="예","1.5 (휴일 8시간 초과 2.0)","1.0 (5인 미만)")&amp;" · 야간 가산 = 시간 × 시급 × "&amp;IF(설정!$C$7="예","0.5","0 (5인 미만)")</f>
        <v>· 연장·휴일 = 시간 × 시급 × 1.0 (5인 미만) · 야간 가산 = 시간 × 시급 × 0 (5인 미만)</v>
      </c>
      <c r="C29" s="115"/>
      <c r="D29" s="115"/>
      <c r="E29" s="115"/>
      <c r="F29" s="115"/>
      <c r="G29" s="6"/>
      <c r="H29" s="6"/>
    </row>
    <row r="30" customFormat="false" ht="25.5" hidden="false" customHeight="true" outlineLevel="0" collapsed="false">
      <c r="A30" s="6"/>
      <c r="B30" s="115" t="str">
        <f aca="false">"· 국민연금 "&amp;TEXT(설정!$C$9,"0.00%")&amp;" · 건강보험 "&amp;TEXT(설정!$C$13,"0.000%")&amp;" · 장기요양 = 건강보험료 × "&amp;TEXT(설정!$C$14,"0.00%")&amp;" · 고용보험 "&amp;TEXT(설정!$C$15,"0.0%")&amp;" (비과세 식대 제외, 10원 미만 절사)"</f>
        <v>· 국민연금 4.75% · 건강보험 3.595% · 장기요양 = 건강보험료 × 13.14% · 고용보험 0.9% (비과세 식대 제외, 10원 미만 절사)</v>
      </c>
      <c r="C30" s="115"/>
      <c r="D30" s="115"/>
      <c r="E30" s="115"/>
      <c r="F30" s="115"/>
      <c r="G30" s="6"/>
      <c r="H30" s="6"/>
    </row>
    <row r="31" customFormat="false" ht="25.5" hidden="false" customHeight="true" outlineLevel="0" collapsed="false">
      <c r="A31" s="6"/>
      <c r="B31" s="116" t="str">
        <f aca="false">"· 소득세 = 국세청 근로소득 간이세액표 · 지방소득세 = 소득세 × 10%"</f>
        <v>· 소득세 = 국세청 근로소득 간이세액표 · 지방소득세 = 소득세 × 10%</v>
      </c>
      <c r="C31" s="116"/>
      <c r="D31" s="116"/>
      <c r="E31" s="116"/>
      <c r="F31" s="116"/>
      <c r="G31" s="6"/>
      <c r="H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</row>
    <row r="33" customFormat="false" ht="30" hidden="false" customHeight="true" outlineLevel="0" collapsed="false">
      <c r="A33" s="6"/>
      <c r="B33" s="117" t="s">
        <v>144</v>
      </c>
      <c r="C33" s="117"/>
      <c r="D33" s="117"/>
      <c r="E33" s="117"/>
      <c r="F33" s="117"/>
      <c r="G33" s="6"/>
      <c r="H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</row>
  </sheetData>
  <mergeCells count="11">
    <mergeCell ref="B12:E12"/>
    <mergeCell ref="B14:C14"/>
    <mergeCell ref="E14:F14"/>
    <mergeCell ref="B23:C24"/>
    <mergeCell ref="E23:F24"/>
    <mergeCell ref="B27:F27"/>
    <mergeCell ref="B28:F28"/>
    <mergeCell ref="B29:F29"/>
    <mergeCell ref="B30:F30"/>
    <mergeCell ref="B31:F31"/>
    <mergeCell ref="B33:F33"/>
  </mergeCells>
  <dataValidations count="1">
    <dataValidation allowBlank="false" errorStyle="stop" operator="between" showDropDown="false" showErrorMessage="false" showInputMessage="false" sqref="F12" type="list">
      <formula1>직원명단!$B$7:$B$36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2026-11-07T02:37:37Z</dcterms:created>
  <dc:creator>openpyxl</dc:creator>
  <dc:description/>
  <dc:language>en-US</dc:language>
  <cp:lastModifiedBy/>
  <dcterms:modified xsi:type="dcterms:W3CDTF">2026-11-07T02:37:37Z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